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595" yWindow="-225" windowWidth="16575" windowHeight="12540" tabRatio="753" firstSheet="1" activeTab="11"/>
  </bookViews>
  <sheets>
    <sheet name="Перечень приложений" sheetId="12" r:id="rId1"/>
    <sheet name="Приложение 1" sheetId="1" r:id="rId2"/>
    <sheet name="Приложение 2" sheetId="2" r:id="rId3"/>
    <sheet name="Приложение 3" sheetId="3" r:id="rId4"/>
    <sheet name="Приложение 4" sheetId="4" r:id="rId5"/>
    <sheet name="Приложение 5" sheetId="5" r:id="rId6"/>
    <sheet name="Приложение 6" sheetId="6" r:id="rId7"/>
    <sheet name="Приложение 7" sheetId="7" r:id="rId8"/>
    <sheet name="Справочно 1" sheetId="8" r:id="rId9"/>
    <sheet name="Справочно 2" sheetId="9" r:id="rId10"/>
    <sheet name="Справочно 3" sheetId="11" r:id="rId11"/>
    <sheet name="Справочно 4" sheetId="10" r:id="rId12"/>
  </sheets>
  <externalReferences>
    <externalReference r:id="rId13"/>
    <externalReference r:id="rId14"/>
    <externalReference r:id="rId15"/>
  </externalReferences>
  <definedNames>
    <definedName name="_xlnm._FilterDatabase" localSheetId="1" hidden="1">'Приложение 1'!$A$8:$R$318</definedName>
    <definedName name="_xlnm._FilterDatabase" localSheetId="2" hidden="1">'Приложение 2'!$A$9:$I$804</definedName>
    <definedName name="_xlnm.Print_Area" localSheetId="1">'Приложение 1'!$A$1:$I$630</definedName>
    <definedName name="_xlnm.Print_Area" localSheetId="2">'Приложение 2'!$A$1:$I$804</definedName>
    <definedName name="_xlnm.Print_Area" localSheetId="4">'Приложение 4'!$A$1:$K$42</definedName>
    <definedName name="_xlnm.Print_Area" localSheetId="9">'Справочно 2'!$A$1:$F$209</definedName>
  </definedNames>
  <calcPr calcId="145621"/>
</workbook>
</file>

<file path=xl/calcChain.xml><?xml version="1.0" encoding="utf-8"?>
<calcChain xmlns="http://schemas.openxmlformats.org/spreadsheetml/2006/main">
  <c r="I803" i="2" l="1"/>
  <c r="I802" i="2" s="1"/>
  <c r="H803" i="2"/>
  <c r="H802" i="2" s="1"/>
  <c r="G803" i="2"/>
  <c r="G802" i="2" s="1"/>
  <c r="F802" i="2"/>
  <c r="I800" i="2"/>
  <c r="H800" i="2"/>
  <c r="G800" i="2"/>
  <c r="F800" i="2"/>
  <c r="I798" i="2"/>
  <c r="H798" i="2"/>
  <c r="G798" i="2"/>
  <c r="F798" i="2"/>
  <c r="I797" i="2"/>
  <c r="H797" i="2"/>
  <c r="H795" i="2" s="1"/>
  <c r="H794" i="2" s="1"/>
  <c r="I795" i="2"/>
  <c r="G795" i="2"/>
  <c r="F795" i="2"/>
  <c r="G794" i="2" l="1"/>
  <c r="I794" i="2"/>
  <c r="I113" i="2"/>
  <c r="H57" i="1"/>
  <c r="I57" i="1"/>
  <c r="F58" i="1"/>
  <c r="F57" i="1" s="1"/>
  <c r="H36" i="1"/>
  <c r="I36" i="1"/>
  <c r="G36" i="1"/>
  <c r="E40" i="4" l="1"/>
  <c r="C40" i="4" s="1"/>
  <c r="I371" i="2"/>
  <c r="H350" i="2"/>
  <c r="H351" i="2"/>
  <c r="I347" i="2"/>
  <c r="I346" i="2" s="1"/>
  <c r="I345" i="2" s="1"/>
  <c r="H347" i="2"/>
  <c r="H346" i="2" s="1"/>
  <c r="H345" i="2" s="1"/>
  <c r="F590" i="1"/>
  <c r="I591" i="1"/>
  <c r="H591" i="1"/>
  <c r="I486" i="2"/>
  <c r="I485" i="2" s="1"/>
  <c r="H486" i="2"/>
  <c r="H485" i="2" s="1"/>
  <c r="G486" i="2"/>
  <c r="G485" i="2" s="1"/>
  <c r="I90" i="1"/>
  <c r="I89" i="1" s="1"/>
  <c r="H90" i="1"/>
  <c r="H89" i="1" s="1"/>
  <c r="G89" i="1"/>
  <c r="G90" i="1"/>
  <c r="F73" i="1"/>
  <c r="F70" i="1" s="1"/>
  <c r="F89" i="1"/>
  <c r="F86" i="1" s="1"/>
  <c r="I462" i="2"/>
  <c r="I460" i="2" s="1"/>
  <c r="H462" i="2"/>
  <c r="H460" i="2" s="1"/>
  <c r="G462" i="2"/>
  <c r="G460" i="2" s="1"/>
  <c r="I73" i="1"/>
  <c r="I75" i="1"/>
  <c r="H75" i="1"/>
  <c r="H73" i="1" s="1"/>
  <c r="G75" i="1"/>
  <c r="G73" i="1" s="1"/>
  <c r="G591" i="1"/>
  <c r="F593" i="1" l="1"/>
  <c r="F592" i="1" s="1"/>
  <c r="G576" i="1"/>
  <c r="F576" i="1"/>
  <c r="G621" i="2"/>
  <c r="G620" i="2" s="1"/>
  <c r="F308" i="1"/>
  <c r="G309" i="1"/>
  <c r="G308" i="1" s="1"/>
  <c r="H419" i="1" l="1"/>
  <c r="H418" i="1" s="1"/>
  <c r="I415" i="1"/>
  <c r="I412" i="1" s="1"/>
  <c r="I411" i="1" s="1"/>
  <c r="H415" i="1"/>
  <c r="H412" i="1" s="1"/>
  <c r="H411" i="1" s="1"/>
  <c r="I594" i="1"/>
  <c r="H594" i="1"/>
  <c r="I161" i="1"/>
  <c r="H161" i="1"/>
  <c r="F164" i="1"/>
  <c r="G125" i="2"/>
  <c r="I132" i="2"/>
  <c r="H132" i="2"/>
  <c r="G132" i="2"/>
  <c r="I531" i="1"/>
  <c r="I530" i="1" s="1"/>
  <c r="H531" i="1"/>
  <c r="H530" i="1" s="1"/>
  <c r="F531" i="1"/>
  <c r="G531" i="1" s="1"/>
  <c r="G530" i="1" s="1"/>
  <c r="I544" i="2"/>
  <c r="I543" i="2" s="1"/>
  <c r="H544" i="2"/>
  <c r="H543" i="2" s="1"/>
  <c r="G544" i="2"/>
  <c r="G543" i="2" s="1"/>
  <c r="I147" i="1"/>
  <c r="I146" i="1" s="1"/>
  <c r="H147" i="1"/>
  <c r="H146" i="1" s="1"/>
  <c r="F146" i="1"/>
  <c r="F143" i="1" s="1"/>
  <c r="F142" i="1" s="1"/>
  <c r="I466" i="2"/>
  <c r="H466" i="2"/>
  <c r="G466" i="2"/>
  <c r="I84" i="1"/>
  <c r="I83" i="1" s="1"/>
  <c r="H84" i="1"/>
  <c r="H83" i="1" s="1"/>
  <c r="F83" i="1"/>
  <c r="F82" i="1" s="1"/>
  <c r="G84" i="1"/>
  <c r="G83" i="1" s="1"/>
  <c r="I493" i="2"/>
  <c r="I492" i="2" s="1"/>
  <c r="H493" i="2"/>
  <c r="H492" i="2" s="1"/>
  <c r="G493" i="2"/>
  <c r="G492" i="2" s="1"/>
  <c r="I97" i="1"/>
  <c r="I96" i="1" s="1"/>
  <c r="H97" i="1"/>
  <c r="H96" i="1" s="1"/>
  <c r="F96" i="1"/>
  <c r="F530" i="1" l="1"/>
  <c r="F529" i="1" s="1"/>
  <c r="G100" i="2"/>
  <c r="G595" i="1"/>
  <c r="F506" i="1"/>
  <c r="F514" i="1"/>
  <c r="F513" i="1"/>
  <c r="F511" i="1" s="1"/>
  <c r="I514" i="1"/>
  <c r="H514" i="1"/>
  <c r="G514" i="1"/>
  <c r="I513" i="1"/>
  <c r="H513" i="1"/>
  <c r="G513" i="1"/>
  <c r="I512" i="1"/>
  <c r="G512" i="1"/>
  <c r="I366" i="2"/>
  <c r="I367" i="2"/>
  <c r="I368" i="2"/>
  <c r="H367" i="2"/>
  <c r="H368" i="2"/>
  <c r="G366" i="2"/>
  <c r="G367" i="2"/>
  <c r="G368" i="2"/>
  <c r="I518" i="1"/>
  <c r="I519" i="1"/>
  <c r="H518" i="1"/>
  <c r="H519" i="1"/>
  <c r="H517" i="1" s="1"/>
  <c r="G518" i="1"/>
  <c r="F517" i="1"/>
  <c r="G517" i="1" s="1"/>
  <c r="F516" i="1"/>
  <c r="F515" i="1" s="1"/>
  <c r="F69" i="1"/>
  <c r="I771" i="2"/>
  <c r="H771" i="2"/>
  <c r="G771" i="2"/>
  <c r="F573" i="1"/>
  <c r="F570" i="1" s="1"/>
  <c r="G245" i="2"/>
  <c r="G244" i="2" s="1"/>
  <c r="I125" i="2"/>
  <c r="H125" i="2"/>
  <c r="H317" i="2"/>
  <c r="H316" i="2" s="1"/>
  <c r="G523" i="2"/>
  <c r="G522" i="2" s="1"/>
  <c r="G521" i="2" s="1"/>
  <c r="G520" i="2" s="1"/>
  <c r="G519" i="2" s="1"/>
  <c r="G341" i="2"/>
  <c r="G340" i="2" s="1"/>
  <c r="G630" i="2"/>
  <c r="G624" i="2"/>
  <c r="G623" i="2" s="1"/>
  <c r="G622" i="2" s="1"/>
  <c r="G697" i="2"/>
  <c r="I427" i="2"/>
  <c r="I426" i="2" s="1"/>
  <c r="H427" i="2"/>
  <c r="H426" i="2" s="1"/>
  <c r="G427" i="2"/>
  <c r="G426" i="2" s="1"/>
  <c r="I211" i="1"/>
  <c r="I601" i="2"/>
  <c r="H601" i="2"/>
  <c r="G601" i="2"/>
  <c r="G491" i="2"/>
  <c r="H113" i="2"/>
  <c r="G113" i="2"/>
  <c r="I58" i="2"/>
  <c r="H58" i="2"/>
  <c r="G58" i="2"/>
  <c r="I59" i="2"/>
  <c r="H59" i="2"/>
  <c r="G59" i="2"/>
  <c r="I517" i="1" l="1"/>
  <c r="I511" i="1"/>
  <c r="G365" i="2"/>
  <c r="F510" i="1"/>
  <c r="F509" i="1" s="1"/>
  <c r="F505" i="1" s="1"/>
  <c r="I365" i="2"/>
  <c r="H365" i="2"/>
  <c r="H466" i="1"/>
  <c r="H465" i="1" s="1"/>
  <c r="F526" i="1"/>
  <c r="F521" i="1" s="1"/>
  <c r="F520" i="1" s="1"/>
  <c r="G527" i="1"/>
  <c r="I527" i="1"/>
  <c r="H527" i="1"/>
  <c r="I593" i="1"/>
  <c r="H593" i="1"/>
  <c r="G593" i="1"/>
  <c r="G312" i="1"/>
  <c r="G311" i="1" s="1"/>
  <c r="G310" i="1" s="1"/>
  <c r="G307" i="1" s="1"/>
  <c r="F312" i="1"/>
  <c r="F311" i="1" s="1"/>
  <c r="F310" i="1" s="1"/>
  <c r="F307" i="1" s="1"/>
  <c r="F162" i="1" l="1"/>
  <c r="F158" i="1" s="1"/>
  <c r="G163" i="1"/>
  <c r="G164" i="1"/>
  <c r="G584" i="1"/>
  <c r="F583" i="1"/>
  <c r="F398" i="1"/>
  <c r="F397" i="1" s="1"/>
  <c r="G403" i="1"/>
  <c r="F403" i="1"/>
  <c r="F402" i="1" s="1"/>
  <c r="G407" i="1"/>
  <c r="F407" i="1"/>
  <c r="G273" i="1"/>
  <c r="G274" i="1"/>
  <c r="F272" i="1"/>
  <c r="F271" i="1"/>
  <c r="F270" i="1" s="1"/>
  <c r="F247" i="1" s="1"/>
  <c r="F246" i="1" s="1"/>
  <c r="F172" i="1"/>
  <c r="F171" i="1"/>
  <c r="F170" i="1" s="1"/>
  <c r="F169" i="1" s="1"/>
  <c r="G173" i="1"/>
  <c r="G174" i="1"/>
  <c r="G112" i="1"/>
  <c r="F112" i="1"/>
  <c r="F95" i="1" s="1"/>
  <c r="F85" i="1" s="1"/>
  <c r="F578" i="1" l="1"/>
  <c r="F569" i="1" s="1"/>
  <c r="F68" i="1"/>
  <c r="G172" i="1"/>
  <c r="G402" i="1"/>
  <c r="F401" i="1"/>
  <c r="F396" i="1" s="1"/>
  <c r="F368" i="1" s="1"/>
  <c r="G272" i="1"/>
  <c r="F316" i="1" l="1"/>
  <c r="F315" i="1" s="1"/>
  <c r="F314" i="1" s="1"/>
  <c r="F306" i="1" s="1"/>
  <c r="G318" i="1"/>
  <c r="G317" i="1"/>
  <c r="F211" i="1"/>
  <c r="F210" i="1" s="1"/>
  <c r="F209" i="1" s="1"/>
  <c r="H211" i="1"/>
  <c r="G212" i="1"/>
  <c r="G211" i="1" s="1"/>
  <c r="F561" i="1"/>
  <c r="F553" i="1" s="1"/>
  <c r="F552" i="1" s="1"/>
  <c r="F562" i="1"/>
  <c r="G564" i="1"/>
  <c r="G563" i="1"/>
  <c r="G53" i="1"/>
  <c r="F52" i="1"/>
  <c r="G58" i="1"/>
  <c r="G57" i="1" s="1"/>
  <c r="I53" i="1"/>
  <c r="I52" i="1" s="1"/>
  <c r="H53" i="1"/>
  <c r="H52" i="1" s="1"/>
  <c r="F233" i="1"/>
  <c r="F232" i="1" s="1"/>
  <c r="G235" i="1"/>
  <c r="G618" i="1"/>
  <c r="G610" i="1"/>
  <c r="G608" i="1"/>
  <c r="G604" i="1"/>
  <c r="G602" i="1"/>
  <c r="G600" i="1"/>
  <c r="G598" i="1"/>
  <c r="G597" i="1"/>
  <c r="G590" i="1"/>
  <c r="G588" i="1"/>
  <c r="G586" i="1"/>
  <c r="G581" i="1"/>
  <c r="G579" i="1" s="1"/>
  <c r="G567" i="1"/>
  <c r="G566" i="1" s="1"/>
  <c r="G557" i="1"/>
  <c r="G556" i="1" s="1"/>
  <c r="G546" i="1"/>
  <c r="G545" i="1" s="1"/>
  <c r="G544" i="1" s="1"/>
  <c r="G541" i="1"/>
  <c r="G539" i="1"/>
  <c r="G533" i="1"/>
  <c r="G526" i="1"/>
  <c r="G521" i="1" s="1"/>
  <c r="G516" i="1"/>
  <c r="G515" i="1" s="1"/>
  <c r="G510" i="1"/>
  <c r="G509" i="1" s="1"/>
  <c r="G506" i="1"/>
  <c r="G504" i="1"/>
  <c r="G503" i="1" s="1"/>
  <c r="G502" i="1" s="1"/>
  <c r="G501" i="1" s="1"/>
  <c r="G498" i="1"/>
  <c r="G497" i="1" s="1"/>
  <c r="G495" i="1"/>
  <c r="G490" i="1"/>
  <c r="G487" i="1"/>
  <c r="G486" i="1"/>
  <c r="G485" i="1" s="1"/>
  <c r="G482" i="1"/>
  <c r="G479" i="1"/>
  <c r="G476" i="1"/>
  <c r="G475" i="1"/>
  <c r="G474" i="1" s="1"/>
  <c r="G471" i="1"/>
  <c r="G456" i="1"/>
  <c r="G439" i="1"/>
  <c r="G435" i="1"/>
  <c r="G434" i="1" s="1"/>
  <c r="G427" i="1"/>
  <c r="G415" i="1"/>
  <c r="G411" i="1" s="1"/>
  <c r="G401" i="1" s="1"/>
  <c r="G398" i="1"/>
  <c r="G397" i="1" s="1"/>
  <c r="G391" i="1"/>
  <c r="G390" i="1" s="1"/>
  <c r="G384" i="1"/>
  <c r="G376" i="1"/>
  <c r="G370" i="1" s="1"/>
  <c r="G367" i="1"/>
  <c r="G366" i="1"/>
  <c r="G365" i="1"/>
  <c r="G364" i="1"/>
  <c r="G361" i="1"/>
  <c r="G360" i="1"/>
  <c r="G356" i="1"/>
  <c r="G352" i="1"/>
  <c r="G351" i="1"/>
  <c r="G341" i="1"/>
  <c r="G340" i="1" s="1"/>
  <c r="G339" i="1" s="1"/>
  <c r="G332" i="1"/>
  <c r="G331" i="1" s="1"/>
  <c r="G327" i="1"/>
  <c r="G320" i="1"/>
  <c r="G305" i="1"/>
  <c r="G304" i="1"/>
  <c r="G303" i="1" s="1"/>
  <c r="G302" i="1" s="1"/>
  <c r="G295" i="1"/>
  <c r="G294" i="1" s="1"/>
  <c r="G281" i="1"/>
  <c r="G271" i="1"/>
  <c r="G267" i="1"/>
  <c r="G262" i="1"/>
  <c r="G261" i="1"/>
  <c r="G260" i="1"/>
  <c r="G259" i="1" s="1"/>
  <c r="G258" i="1"/>
  <c r="G257" i="1"/>
  <c r="G256" i="1" s="1"/>
  <c r="G253" i="1"/>
  <c r="G252" i="1"/>
  <c r="G251" i="1" s="1"/>
  <c r="G250" i="1"/>
  <c r="G249" i="1"/>
  <c r="G248" i="1" s="1"/>
  <c r="G239" i="1"/>
  <c r="G233" i="1" s="1"/>
  <c r="G232" i="1" s="1"/>
  <c r="G229" i="1"/>
  <c r="G221" i="1"/>
  <c r="G218" i="1"/>
  <c r="G206" i="1"/>
  <c r="G205" i="1" s="1"/>
  <c r="G202" i="1"/>
  <c r="G201" i="1" s="1"/>
  <c r="G198" i="1"/>
  <c r="G197" i="1" s="1"/>
  <c r="G194" i="1"/>
  <c r="G193" i="1" s="1"/>
  <c r="G189" i="1"/>
  <c r="G188" i="1" s="1"/>
  <c r="G171" i="1"/>
  <c r="G170" i="1" s="1"/>
  <c r="G169" i="1" s="1"/>
  <c r="G166" i="1"/>
  <c r="G165" i="1"/>
  <c r="G158" i="1" s="1"/>
  <c r="G153" i="1"/>
  <c r="G131" i="1"/>
  <c r="G130" i="1"/>
  <c r="G129" i="1"/>
  <c r="G128" i="1"/>
  <c r="G115" i="1"/>
  <c r="G114" i="1" s="1"/>
  <c r="G91" i="1"/>
  <c r="G87" i="1"/>
  <c r="G86" i="1" s="1"/>
  <c r="G82" i="1"/>
  <c r="G72" i="1"/>
  <c r="G71" i="1" s="1"/>
  <c r="G70" i="1" s="1"/>
  <c r="G61" i="1"/>
  <c r="G60" i="1" s="1"/>
  <c r="G31" i="1"/>
  <c r="G30" i="1"/>
  <c r="G20" i="1"/>
  <c r="G17" i="1"/>
  <c r="G16" i="1"/>
  <c r="G15" i="1" s="1"/>
  <c r="G12" i="1"/>
  <c r="G118" i="10"/>
  <c r="F118" i="10"/>
  <c r="E118" i="10"/>
  <c r="G117" i="10"/>
  <c r="F117" i="10"/>
  <c r="E117" i="10"/>
  <c r="G115" i="10"/>
  <c r="F115" i="10"/>
  <c r="E115" i="10"/>
  <c r="G114" i="10"/>
  <c r="F114" i="10"/>
  <c r="E114" i="10"/>
  <c r="G113" i="10"/>
  <c r="F113" i="10"/>
  <c r="E113" i="10"/>
  <c r="G112" i="10"/>
  <c r="F112" i="10"/>
  <c r="E112" i="10"/>
  <c r="G111" i="10"/>
  <c r="F111" i="10"/>
  <c r="E111" i="10"/>
  <c r="G110" i="10"/>
  <c r="F110" i="10"/>
  <c r="E110" i="10"/>
  <c r="G108" i="10"/>
  <c r="G107" i="10" s="1"/>
  <c r="F108" i="10"/>
  <c r="F107" i="10" s="1"/>
  <c r="E108" i="10"/>
  <c r="E107" i="10" s="1"/>
  <c r="G106" i="10"/>
  <c r="G105" i="10" s="1"/>
  <c r="F106" i="10"/>
  <c r="F105" i="10" s="1"/>
  <c r="E106" i="10"/>
  <c r="E105" i="10" s="1"/>
  <c r="G104" i="10"/>
  <c r="G103" i="10" s="1"/>
  <c r="F104" i="10"/>
  <c r="F103" i="10" s="1"/>
  <c r="E104" i="10"/>
  <c r="E103" i="10" s="1"/>
  <c r="G100" i="10"/>
  <c r="F100" i="10"/>
  <c r="E100" i="10"/>
  <c r="G99" i="10"/>
  <c r="F99" i="10"/>
  <c r="E99" i="10"/>
  <c r="G98" i="10"/>
  <c r="F98" i="10"/>
  <c r="E98" i="10"/>
  <c r="G83" i="10"/>
  <c r="F83" i="10"/>
  <c r="E83" i="10"/>
  <c r="G78" i="10"/>
  <c r="F78" i="10"/>
  <c r="E78" i="10"/>
  <c r="G73" i="10"/>
  <c r="G72" i="10" s="1"/>
  <c r="G69" i="10" s="1"/>
  <c r="F73" i="10"/>
  <c r="E73" i="10"/>
  <c r="E72" i="10" s="1"/>
  <c r="F72" i="10"/>
  <c r="G71" i="10"/>
  <c r="G70" i="10" s="1"/>
  <c r="F71" i="10"/>
  <c r="F70" i="10" s="1"/>
  <c r="E71" i="10"/>
  <c r="E70" i="10" s="1"/>
  <c r="F69" i="10"/>
  <c r="G67" i="10"/>
  <c r="G66" i="10" s="1"/>
  <c r="F67" i="10"/>
  <c r="F66" i="10" s="1"/>
  <c r="E67" i="10"/>
  <c r="E66" i="10" s="1"/>
  <c r="G64" i="10"/>
  <c r="G63" i="10" s="1"/>
  <c r="F64" i="10"/>
  <c r="F63" i="10" s="1"/>
  <c r="E64" i="10"/>
  <c r="E63" i="10" s="1"/>
  <c r="G61" i="10"/>
  <c r="G58" i="10" s="1"/>
  <c r="G57" i="10" s="1"/>
  <c r="F61" i="10"/>
  <c r="E61" i="10"/>
  <c r="E58" i="10" s="1"/>
  <c r="E57" i="10" s="1"/>
  <c r="F58" i="10"/>
  <c r="F57" i="10" s="1"/>
  <c r="G55" i="10"/>
  <c r="F55" i="10"/>
  <c r="E55" i="10"/>
  <c r="G53" i="10"/>
  <c r="F53" i="10"/>
  <c r="E53" i="10"/>
  <c r="G51" i="10"/>
  <c r="F51" i="10"/>
  <c r="E51" i="10"/>
  <c r="G49" i="10"/>
  <c r="F49" i="10"/>
  <c r="E49" i="10"/>
  <c r="E48" i="10"/>
  <c r="E47" i="10" s="1"/>
  <c r="G45" i="10"/>
  <c r="F45" i="10"/>
  <c r="E45" i="10"/>
  <c r="G43" i="10"/>
  <c r="F43" i="10"/>
  <c r="E43" i="10"/>
  <c r="G41" i="10"/>
  <c r="F41" i="10"/>
  <c r="E41" i="10"/>
  <c r="G37" i="10"/>
  <c r="F37" i="10"/>
  <c r="E37" i="10"/>
  <c r="G34" i="10"/>
  <c r="F34" i="10"/>
  <c r="F31" i="10" s="1"/>
  <c r="E34" i="10"/>
  <c r="G32" i="10"/>
  <c r="G31" i="10" s="1"/>
  <c r="F32" i="10"/>
  <c r="E32" i="10"/>
  <c r="E31" i="10" s="1"/>
  <c r="G29" i="10"/>
  <c r="F29" i="10"/>
  <c r="E29" i="10"/>
  <c r="G27" i="10"/>
  <c r="F27" i="10"/>
  <c r="E27" i="10"/>
  <c r="G24" i="10"/>
  <c r="F24" i="10"/>
  <c r="E24" i="10"/>
  <c r="G18" i="10"/>
  <c r="F18" i="10"/>
  <c r="E18" i="10"/>
  <c r="G13" i="10"/>
  <c r="F13" i="10"/>
  <c r="F12" i="10" s="1"/>
  <c r="E13" i="10"/>
  <c r="G12" i="10"/>
  <c r="E12" i="10"/>
  <c r="G109" i="10" l="1"/>
  <c r="G127" i="1"/>
  <c r="G126" i="1" s="1"/>
  <c r="G382" i="1"/>
  <c r="E97" i="10"/>
  <c r="G316" i="1"/>
  <c r="G315" i="1" s="1"/>
  <c r="G314" i="1" s="1"/>
  <c r="G306" i="1" s="1"/>
  <c r="G11" i="1"/>
  <c r="G69" i="1"/>
  <c r="G192" i="1"/>
  <c r="G270" i="1"/>
  <c r="G247" i="1" s="1"/>
  <c r="G246" i="1" s="1"/>
  <c r="G562" i="1"/>
  <c r="G561" i="1" s="1"/>
  <c r="F23" i="10"/>
  <c r="F40" i="10"/>
  <c r="G48" i="10"/>
  <c r="G47" i="10" s="1"/>
  <c r="G29" i="1"/>
  <c r="G26" i="1" s="1"/>
  <c r="G25" i="1" s="1"/>
  <c r="G152" i="1"/>
  <c r="F35" i="1"/>
  <c r="F34" i="1" s="1"/>
  <c r="F10" i="1" s="1"/>
  <c r="F9" i="1" s="1"/>
  <c r="F630" i="1" s="1"/>
  <c r="G52" i="1"/>
  <c r="G35" i="1" s="1"/>
  <c r="G34" i="1" s="1"/>
  <c r="G10" i="1" s="1"/>
  <c r="E69" i="10"/>
  <c r="G359" i="1"/>
  <c r="G355" i="1" s="1"/>
  <c r="G350" i="1" s="1"/>
  <c r="G381" i="1"/>
  <c r="G369" i="1" s="1"/>
  <c r="G420" i="1"/>
  <c r="G396" i="1" s="1"/>
  <c r="G529" i="1"/>
  <c r="G520" i="1" s="1"/>
  <c r="G505" i="1"/>
  <c r="G210" i="1"/>
  <c r="G209" i="1" s="1"/>
  <c r="G553" i="1"/>
  <c r="G552" i="1" s="1"/>
  <c r="G478" i="1"/>
  <c r="G477" i="1" s="1"/>
  <c r="G438" i="1"/>
  <c r="G330" i="1"/>
  <c r="E23" i="10"/>
  <c r="G23" i="10"/>
  <c r="E40" i="10"/>
  <c r="F48" i="10"/>
  <c r="F47" i="10" s="1"/>
  <c r="G62" i="10"/>
  <c r="E77" i="10"/>
  <c r="G77" i="10"/>
  <c r="G116" i="10"/>
  <c r="F62" i="10"/>
  <c r="G40" i="10"/>
  <c r="E62" i="10"/>
  <c r="F77" i="10"/>
  <c r="F116" i="10"/>
  <c r="E109" i="10"/>
  <c r="F109" i="10"/>
  <c r="G97" i="10"/>
  <c r="F101" i="10"/>
  <c r="E101" i="10"/>
  <c r="E116" i="10"/>
  <c r="F97" i="10"/>
  <c r="G101" i="10"/>
  <c r="G11" i="10" l="1"/>
  <c r="F11" i="10"/>
  <c r="G368" i="1"/>
  <c r="E11" i="10"/>
  <c r="F96" i="10"/>
  <c r="F95" i="10" s="1"/>
  <c r="E96" i="10"/>
  <c r="E95" i="10" s="1"/>
  <c r="G96" i="10"/>
  <c r="G95" i="10" s="1"/>
  <c r="G119" i="10" l="1"/>
  <c r="F119" i="10"/>
  <c r="E119" i="10"/>
  <c r="E208" i="9"/>
  <c r="D208" i="9"/>
  <c r="D207" i="9" s="1"/>
  <c r="C208" i="9"/>
  <c r="C207" i="9" s="1"/>
  <c r="D200" i="9"/>
  <c r="E200" i="9" s="1"/>
  <c r="D199" i="9"/>
  <c r="E199" i="9" s="1"/>
  <c r="D198" i="9"/>
  <c r="E198" i="9" s="1"/>
  <c r="E197" i="9"/>
  <c r="D196" i="9"/>
  <c r="E196" i="9" s="1"/>
  <c r="C195" i="9"/>
  <c r="C201" i="9" s="1"/>
  <c r="E194" i="9"/>
  <c r="D193" i="9"/>
  <c r="E193" i="9" s="1"/>
  <c r="D192" i="9"/>
  <c r="E192" i="9" s="1"/>
  <c r="D191" i="9"/>
  <c r="E191" i="9" s="1"/>
  <c r="D190" i="9"/>
  <c r="E190" i="9" s="1"/>
  <c r="D189" i="9"/>
  <c r="E189" i="9" s="1"/>
  <c r="E181" i="9"/>
  <c r="E180" i="9"/>
  <c r="E179" i="9"/>
  <c r="E178" i="9"/>
  <c r="E177" i="9"/>
  <c r="C176" i="9"/>
  <c r="E176" i="9" s="1"/>
  <c r="C175" i="9"/>
  <c r="E175" i="9" s="1"/>
  <c r="C174" i="9"/>
  <c r="E174" i="9" s="1"/>
  <c r="E173" i="9"/>
  <c r="E172" i="9"/>
  <c r="E171" i="9"/>
  <c r="E169" i="9"/>
  <c r="E168" i="9"/>
  <c r="E167" i="9"/>
  <c r="C166" i="9"/>
  <c r="E166" i="9" s="1"/>
  <c r="E165" i="9"/>
  <c r="E164" i="9"/>
  <c r="C163" i="9"/>
  <c r="E163" i="9" s="1"/>
  <c r="E162" i="9"/>
  <c r="E161" i="9"/>
  <c r="C161" i="9"/>
  <c r="E160" i="9"/>
  <c r="C160" i="9"/>
  <c r="E159" i="9"/>
  <c r="E158" i="9"/>
  <c r="C157" i="9"/>
  <c r="E157" i="9" s="1"/>
  <c r="E156" i="9"/>
  <c r="E155" i="9"/>
  <c r="E154" i="9"/>
  <c r="E153" i="9"/>
  <c r="E152" i="9"/>
  <c r="E151" i="9"/>
  <c r="C150" i="9"/>
  <c r="E150" i="9" s="1"/>
  <c r="E149" i="9"/>
  <c r="E148" i="9"/>
  <c r="E147" i="9"/>
  <c r="E146" i="9"/>
  <c r="E145" i="9"/>
  <c r="E144" i="9"/>
  <c r="C143" i="9"/>
  <c r="E143" i="9" s="1"/>
  <c r="E142" i="9"/>
  <c r="E141" i="9"/>
  <c r="D140" i="9"/>
  <c r="C140" i="9"/>
  <c r="C96" i="9" s="1"/>
  <c r="C95" i="9" s="1"/>
  <c r="C139" i="9"/>
  <c r="E139" i="9" s="1"/>
  <c r="C138" i="9"/>
  <c r="E138" i="9" s="1"/>
  <c r="E137" i="9"/>
  <c r="E136" i="9"/>
  <c r="E135" i="9"/>
  <c r="E134" i="9"/>
  <c r="E133" i="9"/>
  <c r="E132" i="9"/>
  <c r="E131" i="9"/>
  <c r="E130" i="9"/>
  <c r="C129" i="9"/>
  <c r="E129" i="9" s="1"/>
  <c r="E128" i="9"/>
  <c r="C127" i="9"/>
  <c r="E127" i="9" s="1"/>
  <c r="E126" i="9"/>
  <c r="C125" i="9"/>
  <c r="E125" i="9" s="1"/>
  <c r="C124" i="9"/>
  <c r="E124" i="9" s="1"/>
  <c r="C123" i="9"/>
  <c r="E123" i="9" s="1"/>
  <c r="C122" i="9"/>
  <c r="E122" i="9" s="1"/>
  <c r="E121" i="9"/>
  <c r="E120" i="9"/>
  <c r="E119" i="9"/>
  <c r="E118" i="9"/>
  <c r="D117" i="9"/>
  <c r="E117" i="9" s="1"/>
  <c r="D116" i="9"/>
  <c r="E116" i="9" s="1"/>
  <c r="D115" i="9"/>
  <c r="E115" i="9" s="1"/>
  <c r="C114" i="9"/>
  <c r="C113" i="9" s="1"/>
  <c r="E112" i="9"/>
  <c r="D111" i="9"/>
  <c r="C111" i="9"/>
  <c r="E110" i="9"/>
  <c r="E109" i="9"/>
  <c r="E108" i="9"/>
  <c r="E107" i="9"/>
  <c r="E106" i="9"/>
  <c r="E105" i="9"/>
  <c r="D104" i="9"/>
  <c r="C104" i="9"/>
  <c r="E103" i="9"/>
  <c r="E102" i="9"/>
  <c r="E101" i="9"/>
  <c r="E100" i="9"/>
  <c r="E99" i="9"/>
  <c r="E98" i="9"/>
  <c r="E97" i="9"/>
  <c r="D96" i="9"/>
  <c r="E96" i="9" s="1"/>
  <c r="E94" i="9"/>
  <c r="D93" i="9"/>
  <c r="C93" i="9"/>
  <c r="E92" i="9"/>
  <c r="E91" i="9"/>
  <c r="E90" i="9"/>
  <c r="E89" i="9"/>
  <c r="E88" i="9"/>
  <c r="E87" i="9"/>
  <c r="E86" i="9"/>
  <c r="E85" i="9"/>
  <c r="E84" i="9"/>
  <c r="E83" i="9"/>
  <c r="E82" i="9"/>
  <c r="E81" i="9"/>
  <c r="E80" i="9"/>
  <c r="E79" i="9"/>
  <c r="E78" i="9"/>
  <c r="E77" i="9"/>
  <c r="E76" i="9"/>
  <c r="E75" i="9"/>
  <c r="E74" i="9"/>
  <c r="D73" i="9"/>
  <c r="C73" i="9"/>
  <c r="E72" i="9"/>
  <c r="E71" i="9"/>
  <c r="D70" i="9"/>
  <c r="C70" i="9"/>
  <c r="E69" i="9"/>
  <c r="D68" i="9"/>
  <c r="C68" i="9"/>
  <c r="E67" i="9"/>
  <c r="E66" i="9"/>
  <c r="E65" i="9"/>
  <c r="D64" i="9"/>
  <c r="C64" i="9"/>
  <c r="E63" i="9"/>
  <c r="D62" i="9"/>
  <c r="C62" i="9"/>
  <c r="E60" i="9"/>
  <c r="E59" i="9"/>
  <c r="E58" i="9"/>
  <c r="D57" i="9"/>
  <c r="E57" i="9" s="1"/>
  <c r="C56" i="9"/>
  <c r="E55" i="9"/>
  <c r="D54" i="9"/>
  <c r="C54" i="9"/>
  <c r="E53" i="9"/>
  <c r="E52" i="9"/>
  <c r="E51" i="9"/>
  <c r="D50" i="9"/>
  <c r="C50" i="9"/>
  <c r="C49" i="9" s="1"/>
  <c r="D49" i="9"/>
  <c r="E47" i="9"/>
  <c r="C46" i="9"/>
  <c r="E46" i="9" s="1"/>
  <c r="E45" i="9"/>
  <c r="E44" i="9"/>
  <c r="E43" i="9"/>
  <c r="E42" i="9"/>
  <c r="D41" i="9"/>
  <c r="C41" i="9"/>
  <c r="E40" i="9"/>
  <c r="E39" i="9"/>
  <c r="E38" i="9"/>
  <c r="E37" i="9"/>
  <c r="E36" i="9"/>
  <c r="E35" i="9"/>
  <c r="E34" i="9"/>
  <c r="E33" i="9"/>
  <c r="D32" i="9"/>
  <c r="C32" i="9"/>
  <c r="E31" i="9"/>
  <c r="D30" i="9"/>
  <c r="C30" i="9"/>
  <c r="E29" i="9"/>
  <c r="D28" i="9"/>
  <c r="C28" i="9"/>
  <c r="E27" i="9"/>
  <c r="E25" i="9"/>
  <c r="E24" i="9"/>
  <c r="E23" i="9"/>
  <c r="E22" i="9"/>
  <c r="E21" i="9"/>
  <c r="D20" i="9"/>
  <c r="C20" i="9"/>
  <c r="E19" i="9"/>
  <c r="E18" i="9"/>
  <c r="E17" i="9"/>
  <c r="E16" i="9"/>
  <c r="E15" i="9"/>
  <c r="D14" i="9"/>
  <c r="C14" i="9"/>
  <c r="E12" i="8"/>
  <c r="D12" i="8"/>
  <c r="C12" i="8"/>
  <c r="I526" i="1"/>
  <c r="H526" i="1"/>
  <c r="E526" i="1"/>
  <c r="I72" i="1"/>
  <c r="I71" i="1" s="1"/>
  <c r="H72" i="1"/>
  <c r="H71" i="1" s="1"/>
  <c r="E72" i="1"/>
  <c r="E71" i="1" s="1"/>
  <c r="D14" i="5"/>
  <c r="D13" i="5" s="1"/>
  <c r="D12" i="5" s="1"/>
  <c r="E14" i="5"/>
  <c r="E13" i="5" s="1"/>
  <c r="E12" i="5" s="1"/>
  <c r="C14" i="5"/>
  <c r="C13" i="5" s="1"/>
  <c r="C12" i="5" s="1"/>
  <c r="C42" i="4"/>
  <c r="C41" i="4"/>
  <c r="F40" i="4"/>
  <c r="C38" i="4"/>
  <c r="E39" i="4"/>
  <c r="C39" i="4"/>
  <c r="K38" i="4"/>
  <c r="I38" i="4"/>
  <c r="H38" i="4"/>
  <c r="F38" i="4" s="1"/>
  <c r="E38" i="4"/>
  <c r="I37" i="4"/>
  <c r="F37" i="4"/>
  <c r="C37" i="4"/>
  <c r="I36" i="4"/>
  <c r="F36" i="4"/>
  <c r="E36" i="4"/>
  <c r="C36" i="4" s="1"/>
  <c r="I35" i="4"/>
  <c r="I28" i="4" s="1"/>
  <c r="F34" i="4"/>
  <c r="F33" i="4"/>
  <c r="F32" i="4"/>
  <c r="C31" i="4"/>
  <c r="C30" i="4"/>
  <c r="K28" i="4"/>
  <c r="H28" i="4"/>
  <c r="H19" i="4" s="1"/>
  <c r="E28" i="4"/>
  <c r="C27" i="4"/>
  <c r="C26" i="4"/>
  <c r="C25" i="4"/>
  <c r="C24" i="4"/>
  <c r="C23" i="4"/>
  <c r="I22" i="4"/>
  <c r="F22" i="4"/>
  <c r="C22" i="4"/>
  <c r="I20" i="4"/>
  <c r="F20" i="4"/>
  <c r="E20" i="4"/>
  <c r="C20" i="4" s="1"/>
  <c r="K19" i="4"/>
  <c r="J19" i="4"/>
  <c r="G19" i="4"/>
  <c r="D19" i="4"/>
  <c r="C18" i="4"/>
  <c r="C17" i="4" s="1"/>
  <c r="K17" i="4"/>
  <c r="J17" i="4"/>
  <c r="I17" i="4"/>
  <c r="H17" i="4"/>
  <c r="G17" i="4"/>
  <c r="F17" i="4"/>
  <c r="E17" i="4"/>
  <c r="D17" i="4"/>
  <c r="I16" i="4"/>
  <c r="I15" i="4"/>
  <c r="C26" i="9" l="1"/>
  <c r="E28" i="9"/>
  <c r="E32" i="9"/>
  <c r="D14" i="4"/>
  <c r="D13" i="4" s="1"/>
  <c r="J14" i="4"/>
  <c r="J13" i="4" s="1"/>
  <c r="E19" i="4"/>
  <c r="C28" i="4"/>
  <c r="C19" i="4" s="1"/>
  <c r="C14" i="4" s="1"/>
  <c r="C13" i="4" s="1"/>
  <c r="C61" i="9"/>
  <c r="C48" i="9" s="1"/>
  <c r="C12" i="9" s="1"/>
  <c r="C182" i="9" s="1"/>
  <c r="C202" i="9" s="1"/>
  <c r="E207" i="9"/>
  <c r="C13" i="9"/>
  <c r="E20" i="9"/>
  <c r="F28" i="4"/>
  <c r="F19" i="4" s="1"/>
  <c r="F14" i="4" s="1"/>
  <c r="F13" i="4" s="1"/>
  <c r="E49" i="9"/>
  <c r="E54" i="9"/>
  <c r="D56" i="9"/>
  <c r="E56" i="9" s="1"/>
  <c r="E62" i="9"/>
  <c r="E68" i="9"/>
  <c r="E73" i="9"/>
  <c r="G14" i="4"/>
  <c r="G13" i="4" s="1"/>
  <c r="K14" i="4"/>
  <c r="K13" i="4" s="1"/>
  <c r="I19" i="4"/>
  <c r="I14" i="4" s="1"/>
  <c r="I13" i="4" s="1"/>
  <c r="E14" i="9"/>
  <c r="D26" i="9"/>
  <c r="E30" i="9"/>
  <c r="E41" i="9"/>
  <c r="E64" i="9"/>
  <c r="E70" i="9"/>
  <c r="E93" i="9"/>
  <c r="E104" i="9"/>
  <c r="D114" i="9"/>
  <c r="E114" i="9" s="1"/>
  <c r="D195" i="9"/>
  <c r="E195" i="9" s="1"/>
  <c r="E14" i="4"/>
  <c r="E13" i="4" s="1"/>
  <c r="H14" i="4"/>
  <c r="H13" i="4" s="1"/>
  <c r="E111" i="9"/>
  <c r="E140" i="9"/>
  <c r="E50" i="9"/>
  <c r="D13" i="9"/>
  <c r="D61" i="9"/>
  <c r="E61" i="9" s="1"/>
  <c r="D95" i="9"/>
  <c r="E95" i="9" s="1"/>
  <c r="C170" i="9"/>
  <c r="E170" i="9" s="1"/>
  <c r="E26" i="9" l="1"/>
  <c r="D201" i="9"/>
  <c r="E201" i="9" s="1"/>
  <c r="D113" i="9"/>
  <c r="E113" i="9" s="1"/>
  <c r="D48" i="9"/>
  <c r="E48" i="9" s="1"/>
  <c r="E13" i="9"/>
  <c r="D12" i="9" l="1"/>
  <c r="D182" i="9" s="1"/>
  <c r="G12" i="9" l="1"/>
  <c r="E12" i="9"/>
  <c r="D211" i="9"/>
  <c r="D202" i="9"/>
  <c r="E202" i="9" s="1"/>
  <c r="E182" i="9"/>
  <c r="K19" i="3"/>
  <c r="J19" i="3"/>
  <c r="H19" i="3"/>
  <c r="G19" i="3"/>
  <c r="E19" i="3"/>
  <c r="D19" i="3"/>
  <c r="I18" i="3"/>
  <c r="I17" i="3"/>
  <c r="F17" i="3"/>
  <c r="C17" i="3"/>
  <c r="I16" i="3"/>
  <c r="F15" i="3"/>
  <c r="C15" i="3"/>
  <c r="C14" i="3"/>
  <c r="C13" i="3"/>
  <c r="I19" i="3" l="1"/>
  <c r="C19" i="3"/>
  <c r="F19" i="3"/>
  <c r="I589" i="2"/>
  <c r="H589" i="2"/>
  <c r="G589" i="2"/>
  <c r="I313" i="2"/>
  <c r="H313" i="2"/>
  <c r="G313" i="2"/>
  <c r="I306" i="2"/>
  <c r="H306" i="2"/>
  <c r="G306" i="2"/>
  <c r="I144" i="2"/>
  <c r="H144" i="2"/>
  <c r="G144" i="2"/>
  <c r="I131" i="2"/>
  <c r="H131" i="2"/>
  <c r="G131" i="2"/>
  <c r="G418" i="2"/>
  <c r="G417" i="2" s="1"/>
  <c r="G416" i="2" s="1"/>
  <c r="I769" i="2"/>
  <c r="H769" i="2"/>
  <c r="G769" i="2"/>
  <c r="G766" i="2" s="1"/>
  <c r="I775" i="2"/>
  <c r="I774" i="2" s="1"/>
  <c r="H775" i="2"/>
  <c r="H774" i="2" s="1"/>
  <c r="G775" i="2"/>
  <c r="G774" i="2" s="1"/>
  <c r="F775" i="2"/>
  <c r="I752" i="2"/>
  <c r="I751" i="2" s="1"/>
  <c r="I750" i="2" s="1"/>
  <c r="I749" i="2" s="1"/>
  <c r="I748" i="2" s="1"/>
  <c r="I747" i="2" s="1"/>
  <c r="H752" i="2"/>
  <c r="H751" i="2" s="1"/>
  <c r="H750" i="2" s="1"/>
  <c r="H749" i="2" s="1"/>
  <c r="H748" i="2" s="1"/>
  <c r="H747" i="2" s="1"/>
  <c r="G752" i="2"/>
  <c r="G751" i="2" s="1"/>
  <c r="G750" i="2" s="1"/>
  <c r="G749" i="2" s="1"/>
  <c r="G748" i="2" s="1"/>
  <c r="G747" i="2" s="1"/>
  <c r="F752" i="2"/>
  <c r="F751" i="2" s="1"/>
  <c r="I620" i="2"/>
  <c r="H620" i="2"/>
  <c r="G619" i="2"/>
  <c r="I621" i="2"/>
  <c r="H621" i="2"/>
  <c r="G765" i="2" l="1"/>
  <c r="G764" i="2" s="1"/>
  <c r="G763" i="2" s="1"/>
  <c r="G762" i="2" s="1"/>
  <c r="I740" i="2" l="1"/>
  <c r="I739" i="2" s="1"/>
  <c r="I738" i="2" s="1"/>
  <c r="I737" i="2" s="1"/>
  <c r="I736" i="2" s="1"/>
  <c r="I735" i="2" s="1"/>
  <c r="I734" i="2" s="1"/>
  <c r="H740" i="2"/>
  <c r="H739" i="2" s="1"/>
  <c r="H738" i="2" s="1"/>
  <c r="H737" i="2" s="1"/>
  <c r="H736" i="2" s="1"/>
  <c r="H735" i="2" s="1"/>
  <c r="H734" i="2" s="1"/>
  <c r="G740" i="2"/>
  <c r="G744" i="2"/>
  <c r="G743" i="2" s="1"/>
  <c r="I721" i="2"/>
  <c r="I720" i="2" s="1"/>
  <c r="I719" i="2" s="1"/>
  <c r="I718" i="2" s="1"/>
  <c r="H721" i="2"/>
  <c r="H720" i="2" s="1"/>
  <c r="H719" i="2" s="1"/>
  <c r="H718" i="2" s="1"/>
  <c r="G721" i="2"/>
  <c r="G720" i="2" s="1"/>
  <c r="G719" i="2" s="1"/>
  <c r="G718" i="2" s="1"/>
  <c r="G739" i="2" l="1"/>
  <c r="G738" i="2" s="1"/>
  <c r="G737" i="2" s="1"/>
  <c r="G736" i="2" s="1"/>
  <c r="G735" i="2" s="1"/>
  <c r="G734" i="2" s="1"/>
  <c r="I667" i="2"/>
  <c r="H667" i="2"/>
  <c r="G667" i="2"/>
  <c r="I700" i="2"/>
  <c r="I695" i="2" s="1"/>
  <c r="H700" i="2"/>
  <c r="H695" i="2" s="1"/>
  <c r="G700" i="2"/>
  <c r="F645" i="2"/>
  <c r="F644" i="2" s="1"/>
  <c r="F643" i="2" s="1"/>
  <c r="F642" i="2" s="1"/>
  <c r="I644" i="2"/>
  <c r="I643" i="2" s="1"/>
  <c r="H644" i="2"/>
  <c r="H643" i="2" s="1"/>
  <c r="G644" i="2"/>
  <c r="G643" i="2" s="1"/>
  <c r="I612" i="2"/>
  <c r="I611" i="2" s="1"/>
  <c r="I610" i="2" s="1"/>
  <c r="I609" i="2" s="1"/>
  <c r="I608" i="2" s="1"/>
  <c r="H612" i="2"/>
  <c r="H611" i="2" s="1"/>
  <c r="H610" i="2" s="1"/>
  <c r="H609" i="2" s="1"/>
  <c r="H608" i="2" s="1"/>
  <c r="G612" i="2"/>
  <c r="G611" i="2" s="1"/>
  <c r="G610" i="2" s="1"/>
  <c r="G609" i="2" s="1"/>
  <c r="G608" i="2" s="1"/>
  <c r="I598" i="2"/>
  <c r="H598" i="2"/>
  <c r="G598" i="2"/>
  <c r="I585" i="2"/>
  <c r="I584" i="2" s="1"/>
  <c r="H585" i="2"/>
  <c r="H584" i="2" s="1"/>
  <c r="G559" i="2"/>
  <c r="G558" i="2" s="1"/>
  <c r="I588" i="2"/>
  <c r="H588" i="2"/>
  <c r="G588" i="2"/>
  <c r="I459" i="2"/>
  <c r="H459" i="2"/>
  <c r="G459" i="2"/>
  <c r="G585" i="2"/>
  <c r="G584" i="2" s="1"/>
  <c r="I509" i="2"/>
  <c r="I508" i="2" s="1"/>
  <c r="H509" i="2"/>
  <c r="H508" i="2" s="1"/>
  <c r="G511" i="2"/>
  <c r="I473" i="2"/>
  <c r="I472" i="2" s="1"/>
  <c r="H473" i="2"/>
  <c r="H472" i="2" s="1"/>
  <c r="G475" i="2"/>
  <c r="P476" i="2"/>
  <c r="R475" i="2"/>
  <c r="R476" i="2" s="1"/>
  <c r="Q475" i="2"/>
  <c r="Q476" i="2" s="1"/>
  <c r="O475" i="2"/>
  <c r="O476" i="2" s="1"/>
  <c r="G474" i="2"/>
  <c r="G473" i="2" s="1"/>
  <c r="G472" i="2" s="1"/>
  <c r="F474" i="2"/>
  <c r="F473" i="2" s="1"/>
  <c r="F472" i="2" s="1"/>
  <c r="F514" i="2"/>
  <c r="P512" i="2"/>
  <c r="R511" i="2"/>
  <c r="R512" i="2" s="1"/>
  <c r="Q511" i="2"/>
  <c r="Q512" i="2" s="1"/>
  <c r="O511" i="2"/>
  <c r="O512" i="2" s="1"/>
  <c r="G510" i="2"/>
  <c r="G509" i="2" s="1"/>
  <c r="G508" i="2" s="1"/>
  <c r="F510" i="2"/>
  <c r="I506" i="2"/>
  <c r="I505" i="2" s="1"/>
  <c r="I504" i="2" s="1"/>
  <c r="H506" i="2"/>
  <c r="H505" i="2" s="1"/>
  <c r="H504" i="2" s="1"/>
  <c r="G506" i="2"/>
  <c r="G505" i="2" s="1"/>
  <c r="G504" i="2" s="1"/>
  <c r="I470" i="2"/>
  <c r="I469" i="2" s="1"/>
  <c r="I468" i="2" s="1"/>
  <c r="H470" i="2"/>
  <c r="H469" i="2" s="1"/>
  <c r="H468" i="2" s="1"/>
  <c r="G470" i="2"/>
  <c r="G469" i="2" s="1"/>
  <c r="G468" i="2" s="1"/>
  <c r="F506" i="2"/>
  <c r="F470" i="2"/>
  <c r="I559" i="2"/>
  <c r="I558" i="2" s="1"/>
  <c r="H559" i="2"/>
  <c r="H558" i="2" s="1"/>
  <c r="I554" i="2"/>
  <c r="I553" i="2" s="1"/>
  <c r="H554" i="2"/>
  <c r="H553" i="2" s="1"/>
  <c r="G554" i="2"/>
  <c r="G553" i="2" s="1"/>
  <c r="F554" i="2"/>
  <c r="F553" i="2" s="1"/>
  <c r="F552" i="2" s="1"/>
  <c r="F450" i="2"/>
  <c r="F449" i="2" s="1"/>
  <c r="F448" i="2" s="1"/>
  <c r="I449" i="2"/>
  <c r="I448" i="2" s="1"/>
  <c r="I447" i="2" s="1"/>
  <c r="I446" i="2" s="1"/>
  <c r="I445" i="2" s="1"/>
  <c r="I444" i="2" s="1"/>
  <c r="H449" i="2"/>
  <c r="H448" i="2" s="1"/>
  <c r="H447" i="2" s="1"/>
  <c r="H446" i="2" s="1"/>
  <c r="H445" i="2" s="1"/>
  <c r="H444" i="2" s="1"/>
  <c r="G449" i="2"/>
  <c r="G448" i="2" s="1"/>
  <c r="G447" i="2" s="1"/>
  <c r="G446" i="2" s="1"/>
  <c r="G445" i="2" s="1"/>
  <c r="G444" i="2" s="1"/>
  <c r="I440" i="2"/>
  <c r="I439" i="2" s="1"/>
  <c r="H440" i="2"/>
  <c r="H439" i="2" s="1"/>
  <c r="G440" i="2"/>
  <c r="G439" i="2" s="1"/>
  <c r="I434" i="2"/>
  <c r="H434" i="2"/>
  <c r="G434" i="2"/>
  <c r="I419" i="2"/>
  <c r="I418" i="2" s="1"/>
  <c r="I417" i="2" s="1"/>
  <c r="I416" i="2" s="1"/>
  <c r="H419" i="2"/>
  <c r="H418" i="2" s="1"/>
  <c r="H417" i="2" s="1"/>
  <c r="H416" i="2" s="1"/>
  <c r="F419" i="2"/>
  <c r="F418" i="2" s="1"/>
  <c r="F417" i="2" s="1"/>
  <c r="I414" i="2"/>
  <c r="I413" i="2" s="1"/>
  <c r="I412" i="2" s="1"/>
  <c r="H414" i="2"/>
  <c r="H413" i="2" s="1"/>
  <c r="H412" i="2" s="1"/>
  <c r="G414" i="2"/>
  <c r="G413" i="2" s="1"/>
  <c r="F414" i="2"/>
  <c r="I403" i="2"/>
  <c r="I402" i="2" s="1"/>
  <c r="I401" i="2" s="1"/>
  <c r="I400" i="2" s="1"/>
  <c r="I399" i="2" s="1"/>
  <c r="H403" i="2"/>
  <c r="H402" i="2" s="1"/>
  <c r="H401" i="2" s="1"/>
  <c r="H400" i="2" s="1"/>
  <c r="H399" i="2" s="1"/>
  <c r="G403" i="2"/>
  <c r="G402" i="2" s="1"/>
  <c r="G401" i="2" s="1"/>
  <c r="G400" i="2" s="1"/>
  <c r="G399" i="2" s="1"/>
  <c r="F403" i="2"/>
  <c r="F402" i="2" s="1"/>
  <c r="I352" i="2"/>
  <c r="H352" i="2"/>
  <c r="G352" i="2"/>
  <c r="H339" i="2"/>
  <c r="F355" i="2"/>
  <c r="F353" i="2"/>
  <c r="F350" i="2"/>
  <c r="F348" i="2"/>
  <c r="G347" i="2"/>
  <c r="G345" i="2" s="1"/>
  <c r="F345" i="2"/>
  <c r="I339" i="2"/>
  <c r="I333" i="2"/>
  <c r="I332" i="2" s="1"/>
  <c r="H333" i="2"/>
  <c r="H332" i="2" s="1"/>
  <c r="G333" i="2"/>
  <c r="F333" i="2"/>
  <c r="I327" i="2"/>
  <c r="I326" i="2" s="1"/>
  <c r="I325" i="2" s="1"/>
  <c r="H327" i="2"/>
  <c r="H326" i="2" s="1"/>
  <c r="H325" i="2" s="1"/>
  <c r="G327" i="2"/>
  <c r="G326" i="2" s="1"/>
  <c r="G325" i="2" s="1"/>
  <c r="I301" i="2"/>
  <c r="I300" i="2" s="1"/>
  <c r="H301" i="2"/>
  <c r="H300" i="2" s="1"/>
  <c r="G301" i="2"/>
  <c r="G300" i="2" s="1"/>
  <c r="I322" i="2"/>
  <c r="H322" i="2"/>
  <c r="G322" i="2"/>
  <c r="F322" i="2"/>
  <c r="F314" i="2"/>
  <c r="F313" i="2" s="1"/>
  <c r="F309" i="2"/>
  <c r="F307" i="2"/>
  <c r="I303" i="2"/>
  <c r="H303" i="2"/>
  <c r="G303" i="2"/>
  <c r="F303" i="2"/>
  <c r="F302" i="2"/>
  <c r="G295" i="2"/>
  <c r="G294" i="2" s="1"/>
  <c r="F295" i="2"/>
  <c r="F294" i="2" s="1"/>
  <c r="I294" i="2"/>
  <c r="I285" i="2" s="1"/>
  <c r="I284" i="2" s="1"/>
  <c r="H294" i="2"/>
  <c r="H286" i="2" s="1"/>
  <c r="G288" i="2"/>
  <c r="F288" i="2"/>
  <c r="I264" i="2"/>
  <c r="I263" i="2" s="1"/>
  <c r="H264" i="2"/>
  <c r="H263" i="2" s="1"/>
  <c r="I226" i="2"/>
  <c r="I225" i="2" s="1"/>
  <c r="H226" i="2"/>
  <c r="H225" i="2" s="1"/>
  <c r="G226" i="2"/>
  <c r="G225" i="2" s="1"/>
  <c r="F271" i="2"/>
  <c r="F269" i="2"/>
  <c r="G264" i="2"/>
  <c r="G263" i="2" s="1"/>
  <c r="F267" i="2"/>
  <c r="F265" i="2"/>
  <c r="F227" i="2"/>
  <c r="I189" i="2"/>
  <c r="I188" i="2" s="1"/>
  <c r="I187" i="2" s="1"/>
  <c r="H189" i="2"/>
  <c r="H188" i="2" s="1"/>
  <c r="H187" i="2" s="1"/>
  <c r="G189" i="2"/>
  <c r="G188" i="2" s="1"/>
  <c r="G187" i="2" s="1"/>
  <c r="F189" i="2"/>
  <c r="I180" i="2"/>
  <c r="H180" i="2"/>
  <c r="G180" i="2"/>
  <c r="I179" i="2"/>
  <c r="H179" i="2"/>
  <c r="G179" i="2"/>
  <c r="I178" i="2"/>
  <c r="H178" i="2"/>
  <c r="G178" i="2"/>
  <c r="I177" i="2"/>
  <c r="H177" i="2"/>
  <c r="G177" i="2"/>
  <c r="I174" i="2"/>
  <c r="H174" i="2"/>
  <c r="G174" i="2"/>
  <c r="I173" i="2"/>
  <c r="H173" i="2"/>
  <c r="G173" i="2"/>
  <c r="I169" i="2"/>
  <c r="H169" i="2"/>
  <c r="G169" i="2"/>
  <c r="F167" i="2"/>
  <c r="I112" i="2"/>
  <c r="I111" i="2" s="1"/>
  <c r="I110" i="2" s="1"/>
  <c r="I109" i="2" s="1"/>
  <c r="I108" i="2" s="1"/>
  <c r="I107" i="2" s="1"/>
  <c r="H112" i="2"/>
  <c r="H111" i="2" s="1"/>
  <c r="H110" i="2" s="1"/>
  <c r="H109" i="2" s="1"/>
  <c r="H108" i="2" s="1"/>
  <c r="H107" i="2" s="1"/>
  <c r="G112" i="2"/>
  <c r="G111" i="2" s="1"/>
  <c r="G110" i="2" s="1"/>
  <c r="G109" i="2" s="1"/>
  <c r="G108" i="2" s="1"/>
  <c r="G107" i="2" s="1"/>
  <c r="I78" i="2"/>
  <c r="H78" i="2"/>
  <c r="G78" i="2"/>
  <c r="I105" i="2"/>
  <c r="H105" i="2"/>
  <c r="G105" i="2"/>
  <c r="F105" i="2"/>
  <c r="I103" i="2"/>
  <c r="H103" i="2"/>
  <c r="G103" i="2"/>
  <c r="F103" i="2"/>
  <c r="I790" i="2"/>
  <c r="I789" i="2" s="1"/>
  <c r="I788" i="2" s="1"/>
  <c r="I787" i="2" s="1"/>
  <c r="H790" i="2"/>
  <c r="H789" i="2" s="1"/>
  <c r="H788" i="2" s="1"/>
  <c r="H787" i="2" s="1"/>
  <c r="G790" i="2"/>
  <c r="G789" i="2" s="1"/>
  <c r="G788" i="2" s="1"/>
  <c r="G787" i="2" s="1"/>
  <c r="F790" i="2"/>
  <c r="I102" i="2"/>
  <c r="H102" i="2"/>
  <c r="G102" i="2"/>
  <c r="H97" i="2"/>
  <c r="H96" i="2" s="1"/>
  <c r="G97" i="2"/>
  <c r="F99" i="2"/>
  <c r="F97" i="2" s="1"/>
  <c r="I97" i="2"/>
  <c r="I96" i="2" s="1"/>
  <c r="F93" i="2"/>
  <c r="F92" i="2" s="1"/>
  <c r="F91" i="2" s="1"/>
  <c r="I92" i="2"/>
  <c r="I91" i="2" s="1"/>
  <c r="I90" i="2" s="1"/>
  <c r="H92" i="2"/>
  <c r="H91" i="2" s="1"/>
  <c r="H90" i="2" s="1"/>
  <c r="G92" i="2"/>
  <c r="G91" i="2" s="1"/>
  <c r="G90" i="2" s="1"/>
  <c r="I57" i="2"/>
  <c r="I56" i="2" s="1"/>
  <c r="I55" i="2" s="1"/>
  <c r="I54" i="2" s="1"/>
  <c r="I53" i="2" s="1"/>
  <c r="H57" i="2"/>
  <c r="H56" i="2" s="1"/>
  <c r="H55" i="2" s="1"/>
  <c r="H54" i="2" s="1"/>
  <c r="H53" i="2" s="1"/>
  <c r="G57" i="2"/>
  <c r="G56" i="2" s="1"/>
  <c r="G55" i="2" s="1"/>
  <c r="G54" i="2" s="1"/>
  <c r="G53" i="2" s="1"/>
  <c r="I27" i="2"/>
  <c r="I26" i="2" s="1"/>
  <c r="H27" i="2"/>
  <c r="H26" i="2" s="1"/>
  <c r="G27" i="2"/>
  <c r="G26" i="2" s="1"/>
  <c r="I15" i="2"/>
  <c r="I14" i="2" s="1"/>
  <c r="I13" i="2" s="1"/>
  <c r="I12" i="2" s="1"/>
  <c r="I11" i="2" s="1"/>
  <c r="H15" i="2"/>
  <c r="H14" i="2" s="1"/>
  <c r="H13" i="2" s="1"/>
  <c r="H12" i="2" s="1"/>
  <c r="H11" i="2" s="1"/>
  <c r="G15" i="2"/>
  <c r="G14" i="2" s="1"/>
  <c r="G13" i="2" s="1"/>
  <c r="G12" i="2" s="1"/>
  <c r="G11" i="2" s="1"/>
  <c r="I51" i="2"/>
  <c r="I50" i="2" s="1"/>
  <c r="I49" i="2" s="1"/>
  <c r="H51" i="2"/>
  <c r="H50" i="2" s="1"/>
  <c r="H49" i="2" s="1"/>
  <c r="G51" i="2"/>
  <c r="G50" i="2" s="1"/>
  <c r="G49" i="2" s="1"/>
  <c r="I45" i="2"/>
  <c r="I44" i="2" s="1"/>
  <c r="H45" i="2"/>
  <c r="H44" i="2" s="1"/>
  <c r="G45" i="2"/>
  <c r="G44" i="2" s="1"/>
  <c r="F46" i="2"/>
  <c r="F45" i="2" s="1"/>
  <c r="F44" i="2" s="1"/>
  <c r="F42" i="2"/>
  <c r="F39" i="2"/>
  <c r="F36" i="2"/>
  <c r="F34" i="2"/>
  <c r="F31" i="2"/>
  <c r="F28" i="2"/>
  <c r="I23" i="2"/>
  <c r="I22" i="2" s="1"/>
  <c r="I21" i="2" s="1"/>
  <c r="H23" i="2"/>
  <c r="H22" i="2" s="1"/>
  <c r="H21" i="2" s="1"/>
  <c r="G23" i="2"/>
  <c r="G22" i="2" s="1"/>
  <c r="G21" i="2" s="1"/>
  <c r="F23" i="2"/>
  <c r="H338" i="2" l="1"/>
  <c r="H331" i="2" s="1"/>
  <c r="G96" i="2"/>
  <c r="G339" i="2"/>
  <c r="G338" i="2" s="1"/>
  <c r="I338" i="2"/>
  <c r="I331" i="2" s="1"/>
  <c r="G20" i="2"/>
  <c r="G19" i="2" s="1"/>
  <c r="G18" i="2" s="1"/>
  <c r="G95" i="2"/>
  <c r="F509" i="2"/>
  <c r="F508" i="2" s="1"/>
  <c r="O477" i="2"/>
  <c r="O513" i="2"/>
  <c r="Q477" i="2"/>
  <c r="Q513" i="2"/>
  <c r="G425" i="2"/>
  <c r="G424" i="2" s="1"/>
  <c r="G423" i="2" s="1"/>
  <c r="G412" i="2"/>
  <c r="F332" i="2"/>
  <c r="G332" i="2"/>
  <c r="I305" i="2"/>
  <c r="I283" i="2" s="1"/>
  <c r="I282" i="2" s="1"/>
  <c r="I281" i="2" s="1"/>
  <c r="H305" i="2"/>
  <c r="G305" i="2"/>
  <c r="F352" i="2"/>
  <c r="F339" i="2"/>
  <c r="G285" i="2"/>
  <c r="G284" i="2" s="1"/>
  <c r="H285" i="2"/>
  <c r="H284" i="2" s="1"/>
  <c r="G286" i="2"/>
  <c r="F286" i="2"/>
  <c r="F301" i="2"/>
  <c r="F300" i="2" s="1"/>
  <c r="F306" i="2"/>
  <c r="F305" i="2" s="1"/>
  <c r="I286" i="2"/>
  <c r="F285" i="2"/>
  <c r="F284" i="2" s="1"/>
  <c r="I95" i="2"/>
  <c r="F226" i="2"/>
  <c r="F225" i="2" s="1"/>
  <c r="G172" i="2"/>
  <c r="G168" i="2" s="1"/>
  <c r="G167" i="2" s="1"/>
  <c r="I172" i="2"/>
  <c r="I168" i="2" s="1"/>
  <c r="I167" i="2" s="1"/>
  <c r="H172" i="2"/>
  <c r="H168" i="2" s="1"/>
  <c r="H167" i="2" s="1"/>
  <c r="H95" i="2"/>
  <c r="F90" i="2"/>
  <c r="I20" i="2"/>
  <c r="I19" i="2" s="1"/>
  <c r="I18" i="2" s="1"/>
  <c r="H20" i="2"/>
  <c r="H19" i="2" s="1"/>
  <c r="H18" i="2" s="1"/>
  <c r="F27" i="2"/>
  <c r="F26" i="2" s="1"/>
  <c r="G283" i="2" l="1"/>
  <c r="G282" i="2" s="1"/>
  <c r="G281" i="2" s="1"/>
  <c r="G331" i="2"/>
  <c r="F338" i="2"/>
  <c r="F331" i="2" s="1"/>
  <c r="H283" i="2"/>
  <c r="H282" i="2" s="1"/>
  <c r="H281" i="2" s="1"/>
  <c r="F283" i="2"/>
  <c r="I254" i="2" l="1"/>
  <c r="I252" i="2" s="1"/>
  <c r="I251" i="2" s="1"/>
  <c r="H254" i="2"/>
  <c r="H252" i="2" s="1"/>
  <c r="H251" i="2" s="1"/>
  <c r="G254" i="2"/>
  <c r="G252" i="2" s="1"/>
  <c r="G251" i="2" s="1"/>
  <c r="F252" i="2"/>
  <c r="I766" i="2"/>
  <c r="I765" i="2" s="1"/>
  <c r="I764" i="2" s="1"/>
  <c r="I763" i="2" s="1"/>
  <c r="I762" i="2" s="1"/>
  <c r="H766" i="2"/>
  <c r="H765" i="2" s="1"/>
  <c r="H764" i="2" s="1"/>
  <c r="H763" i="2" s="1"/>
  <c r="H762" i="2" s="1"/>
  <c r="F769" i="2"/>
  <c r="F766" i="2" s="1"/>
  <c r="G249" i="2"/>
  <c r="G248" i="2" s="1"/>
  <c r="F249" i="2"/>
  <c r="F248" i="2" s="1"/>
  <c r="I248" i="2"/>
  <c r="H248" i="2"/>
  <c r="I244" i="2"/>
  <c r="H244" i="2"/>
  <c r="F244" i="2"/>
  <c r="I240" i="2"/>
  <c r="H240" i="2"/>
  <c r="G240" i="2"/>
  <c r="G239" i="2" s="1"/>
  <c r="G236" i="2" s="1"/>
  <c r="F240" i="2"/>
  <c r="F239" i="2" s="1"/>
  <c r="F237" i="2"/>
  <c r="F276" i="2"/>
  <c r="I275" i="2"/>
  <c r="I274" i="2" s="1"/>
  <c r="I273" i="2" s="1"/>
  <c r="H275" i="2"/>
  <c r="H274" i="2" s="1"/>
  <c r="H273" i="2" s="1"/>
  <c r="G275" i="2"/>
  <c r="G274" i="2" s="1"/>
  <c r="G273" i="2" s="1"/>
  <c r="F275" i="2"/>
  <c r="F274" i="2" s="1"/>
  <c r="F273" i="2" s="1"/>
  <c r="F162" i="2"/>
  <c r="F161" i="2" s="1"/>
  <c r="I161" i="2"/>
  <c r="I160" i="2" s="1"/>
  <c r="H161" i="2"/>
  <c r="H160" i="2" s="1"/>
  <c r="G161" i="2"/>
  <c r="G160" i="2" s="1"/>
  <c r="F138" i="2"/>
  <c r="F136" i="2"/>
  <c r="I130" i="2"/>
  <c r="I129" i="2" s="1"/>
  <c r="I128" i="2" s="1"/>
  <c r="H130" i="2"/>
  <c r="H129" i="2" s="1"/>
  <c r="H128" i="2" s="1"/>
  <c r="F134" i="2"/>
  <c r="F132" i="2"/>
  <c r="I120" i="2"/>
  <c r="I119" i="2" s="1"/>
  <c r="I118" i="2" s="1"/>
  <c r="I117" i="2" s="1"/>
  <c r="H120" i="2"/>
  <c r="H119" i="2" s="1"/>
  <c r="H118" i="2" s="1"/>
  <c r="H117" i="2" s="1"/>
  <c r="G120" i="2"/>
  <c r="G119" i="2" s="1"/>
  <c r="G118" i="2" s="1"/>
  <c r="G117" i="2" s="1"/>
  <c r="F125" i="2"/>
  <c r="F123" i="2"/>
  <c r="F121" i="2"/>
  <c r="I370" i="2"/>
  <c r="H370" i="2"/>
  <c r="H369" i="2" s="1"/>
  <c r="G370" i="2"/>
  <c r="G369" i="2" s="1"/>
  <c r="F370" i="2"/>
  <c r="F369" i="2" s="1"/>
  <c r="I369" i="2"/>
  <c r="I364" i="2"/>
  <c r="I363" i="2" s="1"/>
  <c r="H364" i="2"/>
  <c r="H363" i="2" s="1"/>
  <c r="G364" i="2"/>
  <c r="G363" i="2" s="1"/>
  <c r="F364" i="2"/>
  <c r="F363" i="2" s="1"/>
  <c r="F361" i="2"/>
  <c r="F360" i="2" s="1"/>
  <c r="I360" i="2"/>
  <c r="H360" i="2"/>
  <c r="G360" i="2"/>
  <c r="G222" i="2"/>
  <c r="G221" i="2" s="1"/>
  <c r="G220" i="2" s="1"/>
  <c r="G219" i="2" s="1"/>
  <c r="I221" i="2"/>
  <c r="I220" i="2" s="1"/>
  <c r="I219" i="2" s="1"/>
  <c r="H221" i="2"/>
  <c r="H220" i="2" s="1"/>
  <c r="H219" i="2" s="1"/>
  <c r="F221" i="2"/>
  <c r="F220" i="2" s="1"/>
  <c r="F219" i="2" s="1"/>
  <c r="F195" i="2"/>
  <c r="F194" i="2" s="1"/>
  <c r="F193" i="2" s="1"/>
  <c r="I194" i="2"/>
  <c r="I193" i="2" s="1"/>
  <c r="I192" i="2" s="1"/>
  <c r="I191" i="2" s="1"/>
  <c r="H194" i="2"/>
  <c r="H193" i="2" s="1"/>
  <c r="H192" i="2" s="1"/>
  <c r="H191" i="2" s="1"/>
  <c r="G194" i="2"/>
  <c r="G193" i="2" s="1"/>
  <c r="G192" i="2" s="1"/>
  <c r="G191" i="2" s="1"/>
  <c r="F218" i="2"/>
  <c r="F217" i="2" s="1"/>
  <c r="I217" i="2"/>
  <c r="H217" i="2"/>
  <c r="G217" i="2"/>
  <c r="F214" i="2"/>
  <c r="I212" i="2"/>
  <c r="H212" i="2"/>
  <c r="G212" i="2"/>
  <c r="F212" i="2"/>
  <c r="G209" i="2"/>
  <c r="I208" i="2"/>
  <c r="H208" i="2"/>
  <c r="G208" i="2"/>
  <c r="F208" i="2"/>
  <c r="F205" i="2"/>
  <c r="F204" i="2" s="1"/>
  <c r="I204" i="2"/>
  <c r="H204" i="2"/>
  <c r="G204" i="2"/>
  <c r="F202" i="2"/>
  <c r="F201" i="2" s="1"/>
  <c r="I201" i="2"/>
  <c r="H201" i="2"/>
  <c r="G201" i="2"/>
  <c r="I380" i="2"/>
  <c r="H380" i="2"/>
  <c r="G380" i="2"/>
  <c r="I379" i="2"/>
  <c r="I378" i="2" s="1"/>
  <c r="I377" i="2" s="1"/>
  <c r="I376" i="2" s="1"/>
  <c r="H379" i="2"/>
  <c r="H378" i="2" s="1"/>
  <c r="H377" i="2" s="1"/>
  <c r="H376" i="2" s="1"/>
  <c r="G379" i="2"/>
  <c r="G378" i="2" s="1"/>
  <c r="G377" i="2" s="1"/>
  <c r="G376" i="2" s="1"/>
  <c r="G375" i="2" s="1"/>
  <c r="G374" i="2" s="1"/>
  <c r="F379" i="2"/>
  <c r="F378" i="2" s="1"/>
  <c r="I184" i="2"/>
  <c r="I183" i="2" s="1"/>
  <c r="I182" i="2" s="1"/>
  <c r="I181" i="2" s="1"/>
  <c r="I166" i="2" s="1"/>
  <c r="I165" i="2" s="1"/>
  <c r="H184" i="2"/>
  <c r="H183" i="2" s="1"/>
  <c r="H182" i="2" s="1"/>
  <c r="H181" i="2" s="1"/>
  <c r="H166" i="2" s="1"/>
  <c r="H165" i="2" s="1"/>
  <c r="G184" i="2"/>
  <c r="G183" i="2" s="1"/>
  <c r="F184" i="2"/>
  <c r="I232" i="2"/>
  <c r="I231" i="2" s="1"/>
  <c r="I230" i="2" s="1"/>
  <c r="H232" i="2"/>
  <c r="H231" i="2" s="1"/>
  <c r="H230" i="2" s="1"/>
  <c r="G232" i="2"/>
  <c r="G231" i="2" s="1"/>
  <c r="G230" i="2" s="1"/>
  <c r="F230" i="2"/>
  <c r="F158" i="2"/>
  <c r="F155" i="2"/>
  <c r="F152" i="2"/>
  <c r="F151" i="2" s="1"/>
  <c r="I151" i="2"/>
  <c r="I150" i="2" s="1"/>
  <c r="I149" i="2" s="1"/>
  <c r="H151" i="2"/>
  <c r="H150" i="2" s="1"/>
  <c r="H149" i="2" s="1"/>
  <c r="G151" i="2"/>
  <c r="G150" i="2" s="1"/>
  <c r="G149" i="2" s="1"/>
  <c r="F147" i="2"/>
  <c r="F145" i="2"/>
  <c r="I143" i="2"/>
  <c r="H143" i="2"/>
  <c r="G143" i="2"/>
  <c r="F636" i="2"/>
  <c r="F632" i="2"/>
  <c r="I631" i="2"/>
  <c r="H631" i="2"/>
  <c r="G631" i="2"/>
  <c r="H628" i="2"/>
  <c r="H627" i="2" s="1"/>
  <c r="H626" i="2" s="1"/>
  <c r="G628" i="2"/>
  <c r="G627" i="2" s="1"/>
  <c r="G626" i="2" s="1"/>
  <c r="I627" i="2"/>
  <c r="I626" i="2" s="1"/>
  <c r="F627" i="2"/>
  <c r="F620" i="2"/>
  <c r="I619" i="2"/>
  <c r="H619" i="2"/>
  <c r="F619" i="2"/>
  <c r="I761" i="2"/>
  <c r="H761" i="2"/>
  <c r="G761" i="2"/>
  <c r="I760" i="2"/>
  <c r="I759" i="2" s="1"/>
  <c r="I758" i="2" s="1"/>
  <c r="H760" i="2"/>
  <c r="H759" i="2" s="1"/>
  <c r="H758" i="2" s="1"/>
  <c r="G760" i="2"/>
  <c r="G759" i="2" s="1"/>
  <c r="G758" i="2" s="1"/>
  <c r="F760" i="2"/>
  <c r="F759" i="2" s="1"/>
  <c r="F758" i="2" s="1"/>
  <c r="F675" i="2"/>
  <c r="F673" i="2"/>
  <c r="I672" i="2"/>
  <c r="I671" i="2" s="1"/>
  <c r="H672" i="2"/>
  <c r="H671" i="2" s="1"/>
  <c r="G672" i="2"/>
  <c r="G671" i="2" s="1"/>
  <c r="F710" i="2"/>
  <c r="I706" i="2"/>
  <c r="H706" i="2"/>
  <c r="G706" i="2"/>
  <c r="F706" i="2"/>
  <c r="F700" i="2"/>
  <c r="K694" i="2"/>
  <c r="G696" i="2"/>
  <c r="G695" i="2" s="1"/>
  <c r="F696" i="2"/>
  <c r="F732" i="2"/>
  <c r="F731" i="2" s="1"/>
  <c r="I731" i="2"/>
  <c r="H731" i="2"/>
  <c r="G731" i="2"/>
  <c r="F729" i="2"/>
  <c r="F727" i="2"/>
  <c r="I726" i="2"/>
  <c r="H726" i="2"/>
  <c r="G726" i="2"/>
  <c r="I662" i="2"/>
  <c r="H662" i="2"/>
  <c r="G662" i="2"/>
  <c r="I661" i="2"/>
  <c r="H661" i="2"/>
  <c r="H660" i="2" s="1"/>
  <c r="H659" i="2" s="1"/>
  <c r="H658" i="2" s="1"/>
  <c r="H657" i="2" s="1"/>
  <c r="H656" i="2" s="1"/>
  <c r="G661" i="2"/>
  <c r="G660" i="2" s="1"/>
  <c r="G659" i="2" s="1"/>
  <c r="G658" i="2" s="1"/>
  <c r="F661" i="2"/>
  <c r="F660" i="2" s="1"/>
  <c r="I660" i="2"/>
  <c r="I659" i="2" s="1"/>
  <c r="I658" i="2" s="1"/>
  <c r="I657" i="2" s="1"/>
  <c r="I656" i="2" s="1"/>
  <c r="I694" i="2"/>
  <c r="H694" i="2"/>
  <c r="G694" i="2"/>
  <c r="I693" i="2"/>
  <c r="I692" i="2" s="1"/>
  <c r="H693" i="2"/>
  <c r="H692" i="2" s="1"/>
  <c r="G693" i="2"/>
  <c r="G692" i="2" s="1"/>
  <c r="F693" i="2"/>
  <c r="F692" i="2" s="1"/>
  <c r="F690" i="2"/>
  <c r="I689" i="2"/>
  <c r="H689" i="2"/>
  <c r="G689" i="2"/>
  <c r="I688" i="2"/>
  <c r="I687" i="2" s="1"/>
  <c r="H688" i="2"/>
  <c r="H687" i="2" s="1"/>
  <c r="G688" i="2"/>
  <c r="G687" i="2" s="1"/>
  <c r="F688" i="2"/>
  <c r="I686" i="2"/>
  <c r="H686" i="2"/>
  <c r="G686" i="2"/>
  <c r="I685" i="2"/>
  <c r="I684" i="2" s="1"/>
  <c r="H685" i="2"/>
  <c r="H684" i="2" s="1"/>
  <c r="G685" i="2"/>
  <c r="G684" i="2" s="1"/>
  <c r="F685" i="2"/>
  <c r="F684" i="2" s="1"/>
  <c r="I260" i="2"/>
  <c r="I259" i="2" s="1"/>
  <c r="H260" i="2"/>
  <c r="H259" i="2" s="1"/>
  <c r="G260" i="2"/>
  <c r="G259" i="2" s="1"/>
  <c r="F260" i="2"/>
  <c r="F435" i="2"/>
  <c r="F441" i="2"/>
  <c r="F410" i="2"/>
  <c r="F409" i="2" s="1"/>
  <c r="I409" i="2"/>
  <c r="I408" i="2" s="1"/>
  <c r="H409" i="2"/>
  <c r="H408" i="2" s="1"/>
  <c r="G409" i="2"/>
  <c r="G408" i="2" s="1"/>
  <c r="F429" i="2"/>
  <c r="F653" i="2"/>
  <c r="F652" i="2" s="1"/>
  <c r="F651" i="2" s="1"/>
  <c r="I652" i="2"/>
  <c r="I651" i="2" s="1"/>
  <c r="H652" i="2"/>
  <c r="H651" i="2" s="1"/>
  <c r="G652" i="2"/>
  <c r="G651" i="2" s="1"/>
  <c r="F649" i="2"/>
  <c r="F648" i="2" s="1"/>
  <c r="I648" i="2"/>
  <c r="H648" i="2"/>
  <c r="G648" i="2"/>
  <c r="F578" i="2"/>
  <c r="F577" i="2" s="1"/>
  <c r="F576" i="2" s="1"/>
  <c r="I577" i="2"/>
  <c r="I576" i="2" s="1"/>
  <c r="H577" i="2"/>
  <c r="H576" i="2" s="1"/>
  <c r="G577" i="2"/>
  <c r="G576" i="2" s="1"/>
  <c r="G605" i="2"/>
  <c r="I604" i="2"/>
  <c r="I597" i="2" s="1"/>
  <c r="I596" i="2" s="1"/>
  <c r="I583" i="2" s="1"/>
  <c r="I582" i="2" s="1"/>
  <c r="I581" i="2" s="1"/>
  <c r="I580" i="2" s="1"/>
  <c r="H604" i="2"/>
  <c r="H597" i="2" s="1"/>
  <c r="H596" i="2" s="1"/>
  <c r="H583" i="2" s="1"/>
  <c r="H582" i="2" s="1"/>
  <c r="H581" i="2" s="1"/>
  <c r="H580" i="2" s="1"/>
  <c r="G604" i="2"/>
  <c r="G597" i="2" s="1"/>
  <c r="G596" i="2" s="1"/>
  <c r="G583" i="2" s="1"/>
  <c r="G582" i="2" s="1"/>
  <c r="G581" i="2" s="1"/>
  <c r="G580" i="2" s="1"/>
  <c r="F604" i="2"/>
  <c r="F601" i="2"/>
  <c r="F598" i="2"/>
  <c r="F574" i="2"/>
  <c r="F572" i="2"/>
  <c r="I571" i="2"/>
  <c r="I570" i="2" s="1"/>
  <c r="H571" i="2"/>
  <c r="H570" i="2" s="1"/>
  <c r="G571" i="2"/>
  <c r="G570" i="2" s="1"/>
  <c r="F545" i="2"/>
  <c r="H540" i="2"/>
  <c r="H539" i="2" s="1"/>
  <c r="H538" i="2" s="1"/>
  <c r="H537" i="2" s="1"/>
  <c r="H536" i="2" s="1"/>
  <c r="G540" i="2"/>
  <c r="G539" i="2" s="1"/>
  <c r="G538" i="2" s="1"/>
  <c r="G537" i="2" s="1"/>
  <c r="G536" i="2" s="1"/>
  <c r="F541" i="2"/>
  <c r="I540" i="2"/>
  <c r="I539" i="2" s="1"/>
  <c r="I538" i="2" s="1"/>
  <c r="I537" i="2" s="1"/>
  <c r="I536" i="2" s="1"/>
  <c r="F568" i="2"/>
  <c r="F566" i="2"/>
  <c r="F564" i="2"/>
  <c r="F562" i="2"/>
  <c r="F560" i="2"/>
  <c r="I535" i="2"/>
  <c r="H535" i="2"/>
  <c r="G535" i="2"/>
  <c r="I534" i="2"/>
  <c r="H534" i="2"/>
  <c r="G534" i="2"/>
  <c r="F534" i="2"/>
  <c r="I533" i="2"/>
  <c r="H533" i="2"/>
  <c r="G533" i="2"/>
  <c r="I532" i="2"/>
  <c r="H532" i="2"/>
  <c r="G532" i="2"/>
  <c r="F532" i="2"/>
  <c r="F504" i="2" s="1"/>
  <c r="I394" i="2"/>
  <c r="I386" i="2" s="1"/>
  <c r="I385" i="2" s="1"/>
  <c r="I384" i="2" s="1"/>
  <c r="I383" i="2" s="1"/>
  <c r="H387" i="2"/>
  <c r="H386" i="2" s="1"/>
  <c r="H385" i="2" s="1"/>
  <c r="H384" i="2" s="1"/>
  <c r="H383" i="2" s="1"/>
  <c r="G387" i="2"/>
  <c r="G386" i="2" s="1"/>
  <c r="G385" i="2" s="1"/>
  <c r="G384" i="2" s="1"/>
  <c r="G383" i="2" s="1"/>
  <c r="F387" i="2"/>
  <c r="F386" i="2" s="1"/>
  <c r="F502" i="2"/>
  <c r="F500" i="2"/>
  <c r="F498" i="2"/>
  <c r="F592" i="2"/>
  <c r="F590" i="2"/>
  <c r="F496" i="2"/>
  <c r="F494" i="2"/>
  <c r="F594" i="2"/>
  <c r="I491" i="2"/>
  <c r="H491" i="2"/>
  <c r="F492" i="2"/>
  <c r="I487" i="2"/>
  <c r="H487" i="2"/>
  <c r="G487" i="2"/>
  <c r="F487" i="2"/>
  <c r="F485" i="2"/>
  <c r="I483" i="2"/>
  <c r="H483" i="2"/>
  <c r="G483" i="2"/>
  <c r="F483" i="2"/>
  <c r="F468" i="2" s="1"/>
  <c r="F466" i="2"/>
  <c r="F465" i="2" s="1"/>
  <c r="I465" i="2"/>
  <c r="H465" i="2"/>
  <c r="G465" i="2"/>
  <c r="F586" i="2"/>
  <c r="F463" i="2"/>
  <c r="F613" i="2"/>
  <c r="F416" i="2" s="1"/>
  <c r="F460" i="2"/>
  <c r="I458" i="2"/>
  <c r="I457" i="2" s="1"/>
  <c r="H458" i="2"/>
  <c r="H457" i="2" s="1"/>
  <c r="G458" i="2"/>
  <c r="G457" i="2" s="1"/>
  <c r="F458" i="2"/>
  <c r="F88" i="2"/>
  <c r="F86" i="2"/>
  <c r="F84" i="2"/>
  <c r="I83" i="2"/>
  <c r="I82" i="2" s="1"/>
  <c r="H83" i="2"/>
  <c r="H82" i="2" s="1"/>
  <c r="G83" i="2"/>
  <c r="G82" i="2" s="1"/>
  <c r="F113" i="2"/>
  <c r="F79" i="2"/>
  <c r="F58" i="2"/>
  <c r="I77" i="2"/>
  <c r="H77" i="2"/>
  <c r="G77" i="2"/>
  <c r="F404" i="2"/>
  <c r="I784" i="2"/>
  <c r="I783" i="2" s="1"/>
  <c r="H784" i="2"/>
  <c r="H783" i="2" s="1"/>
  <c r="F784" i="2"/>
  <c r="F16" i="2"/>
  <c r="F75" i="2"/>
  <c r="F73" i="2"/>
  <c r="I72" i="2"/>
  <c r="H72" i="2"/>
  <c r="G72" i="2"/>
  <c r="F70" i="2"/>
  <c r="G69" i="2"/>
  <c r="G68" i="2"/>
  <c r="G67" i="2" s="1"/>
  <c r="F68" i="2"/>
  <c r="I67" i="2"/>
  <c r="H67" i="2"/>
  <c r="F65" i="2"/>
  <c r="I64" i="2"/>
  <c r="H64" i="2"/>
  <c r="G64" i="2"/>
  <c r="F64" i="2"/>
  <c r="I305" i="1"/>
  <c r="H305" i="1"/>
  <c r="E305" i="1"/>
  <c r="I233" i="1"/>
  <c r="H233" i="1"/>
  <c r="G557" i="2" l="1"/>
  <c r="F703" i="2"/>
  <c r="F670" i="2" s="1"/>
  <c r="I482" i="2"/>
  <c r="I481" i="2" s="1"/>
  <c r="I480" i="2" s="1"/>
  <c r="I479" i="2" s="1"/>
  <c r="I478" i="2" s="1"/>
  <c r="G456" i="2"/>
  <c r="G455" i="2" s="1"/>
  <c r="G454" i="2" s="1"/>
  <c r="G453" i="2" s="1"/>
  <c r="I236" i="2"/>
  <c r="I235" i="2" s="1"/>
  <c r="I224" i="2" s="1"/>
  <c r="I223" i="2" s="1"/>
  <c r="H236" i="2"/>
  <c r="H235" i="2" s="1"/>
  <c r="H224" i="2" s="1"/>
  <c r="H223" i="2" s="1"/>
  <c r="H683" i="2"/>
  <c r="H682" i="2" s="1"/>
  <c r="I683" i="2"/>
  <c r="I682" i="2" s="1"/>
  <c r="H725" i="2"/>
  <c r="H724" i="2" s="1"/>
  <c r="H717" i="2" s="1"/>
  <c r="H716" i="2" s="1"/>
  <c r="G258" i="2"/>
  <c r="G257" i="2" s="1"/>
  <c r="G683" i="2"/>
  <c r="G725" i="2"/>
  <c r="G724" i="2" s="1"/>
  <c r="G717" i="2" s="1"/>
  <c r="G716" i="2" s="1"/>
  <c r="G757" i="2"/>
  <c r="I757" i="2"/>
  <c r="H757" i="2"/>
  <c r="I725" i="2"/>
  <c r="I724" i="2" s="1"/>
  <c r="I717" i="2" s="1"/>
  <c r="I716" i="2" s="1"/>
  <c r="I670" i="2"/>
  <c r="I666" i="2"/>
  <c r="I665" i="2" s="1"/>
  <c r="H666" i="2"/>
  <c r="H665" i="2" s="1"/>
  <c r="H670" i="2"/>
  <c r="G666" i="2"/>
  <c r="G665" i="2" s="1"/>
  <c r="G670" i="2"/>
  <c r="I782" i="2"/>
  <c r="H782" i="2"/>
  <c r="H618" i="2"/>
  <c r="H617" i="2" s="1"/>
  <c r="H616" i="2" s="1"/>
  <c r="H615" i="2" s="1"/>
  <c r="I618" i="2"/>
  <c r="I617" i="2" s="1"/>
  <c r="I616" i="2" s="1"/>
  <c r="I615" i="2" s="1"/>
  <c r="G618" i="2"/>
  <c r="G617" i="2" s="1"/>
  <c r="G616" i="2" s="1"/>
  <c r="G615" i="2" s="1"/>
  <c r="H557" i="2"/>
  <c r="H531" i="2"/>
  <c r="H530" i="2" s="1"/>
  <c r="H529" i="2" s="1"/>
  <c r="H528" i="2" s="1"/>
  <c r="H527" i="2" s="1"/>
  <c r="I557" i="2"/>
  <c r="K477" i="2"/>
  <c r="I531" i="2"/>
  <c r="I530" i="2" s="1"/>
  <c r="I529" i="2" s="1"/>
  <c r="I528" i="2" s="1"/>
  <c r="I527" i="2" s="1"/>
  <c r="I382" i="2"/>
  <c r="I381" i="2" s="1"/>
  <c r="I552" i="2"/>
  <c r="I551" i="2" s="1"/>
  <c r="F480" i="2"/>
  <c r="H382" i="2"/>
  <c r="H381" i="2" s="1"/>
  <c r="H552" i="2"/>
  <c r="H551" i="2" s="1"/>
  <c r="G382" i="2"/>
  <c r="G381" i="2" s="1"/>
  <c r="G552" i="2"/>
  <c r="G551" i="2" s="1"/>
  <c r="G531" i="2"/>
  <c r="G530" i="2" s="1"/>
  <c r="G529" i="2" s="1"/>
  <c r="G528" i="2" s="1"/>
  <c r="G527" i="2" s="1"/>
  <c r="G647" i="2"/>
  <c r="G642" i="2" s="1"/>
  <c r="G641" i="2" s="1"/>
  <c r="G640" i="2" s="1"/>
  <c r="G639" i="2" s="1"/>
  <c r="F647" i="2"/>
  <c r="F529" i="2"/>
  <c r="I647" i="2"/>
  <c r="I642" i="2" s="1"/>
  <c r="I641" i="2" s="1"/>
  <c r="I640" i="2" s="1"/>
  <c r="I639" i="2" s="1"/>
  <c r="H647" i="2"/>
  <c r="H642" i="2" s="1"/>
  <c r="H641" i="2" s="1"/>
  <c r="H640" i="2" s="1"/>
  <c r="H639" i="2" s="1"/>
  <c r="F482" i="2"/>
  <c r="F439" i="2"/>
  <c r="F440" i="2"/>
  <c r="H482" i="2"/>
  <c r="H481" i="2" s="1"/>
  <c r="H480" i="2" s="1"/>
  <c r="H479" i="2" s="1"/>
  <c r="H478" i="2" s="1"/>
  <c r="F540" i="2"/>
  <c r="F539" i="2" s="1"/>
  <c r="I258" i="2"/>
  <c r="I257" i="2" s="1"/>
  <c r="H258" i="2"/>
  <c r="H257" i="2" s="1"/>
  <c r="H456" i="2"/>
  <c r="H455" i="2" s="1"/>
  <c r="H454" i="2" s="1"/>
  <c r="H453" i="2" s="1"/>
  <c r="F72" i="2"/>
  <c r="F571" i="2"/>
  <c r="G182" i="2"/>
  <c r="G181" i="2" s="1"/>
  <c r="G166" i="2" s="1"/>
  <c r="G165" i="2" s="1"/>
  <c r="I456" i="2"/>
  <c r="I455" i="2" s="1"/>
  <c r="I454" i="2" s="1"/>
  <c r="I453" i="2" s="1"/>
  <c r="F426" i="2"/>
  <c r="G482" i="2"/>
  <c r="G481" i="2" s="1"/>
  <c r="G63" i="2"/>
  <c r="G62" i="2" s="1"/>
  <c r="G207" i="2"/>
  <c r="G200" i="2" s="1"/>
  <c r="H63" i="2"/>
  <c r="H62" i="2" s="1"/>
  <c r="I359" i="2"/>
  <c r="I330" i="2" s="1"/>
  <c r="I329" i="2" s="1"/>
  <c r="F434" i="2"/>
  <c r="F687" i="2"/>
  <c r="F67" i="2"/>
  <c r="G784" i="2"/>
  <c r="G783" i="2" s="1"/>
  <c r="F83" i="2"/>
  <c r="F82" i="2" s="1"/>
  <c r="I425" i="2"/>
  <c r="I424" i="2" s="1"/>
  <c r="I423" i="2" s="1"/>
  <c r="I142" i="2"/>
  <c r="I141" i="2" s="1"/>
  <c r="I140" i="2" s="1"/>
  <c r="I116" i="2" s="1"/>
  <c r="F457" i="2"/>
  <c r="F456" i="2" s="1"/>
  <c r="F597" i="2"/>
  <c r="G235" i="2"/>
  <c r="G224" i="2" s="1"/>
  <c r="G223" i="2" s="1"/>
  <c r="F789" i="2"/>
  <c r="F788" i="2" s="1"/>
  <c r="F359" i="2"/>
  <c r="H142" i="2"/>
  <c r="H141" i="2" s="1"/>
  <c r="H140" i="2" s="1"/>
  <c r="H116" i="2" s="1"/>
  <c r="I63" i="2"/>
  <c r="I62" i="2" s="1"/>
  <c r="F783" i="2"/>
  <c r="F78" i="2"/>
  <c r="F77" i="2" s="1"/>
  <c r="F491" i="2"/>
  <c r="F531" i="2"/>
  <c r="F530" i="2" s="1"/>
  <c r="H207" i="2"/>
  <c r="H200" i="2" s="1"/>
  <c r="H359" i="2"/>
  <c r="H330" i="2" s="1"/>
  <c r="H329" i="2" s="1"/>
  <c r="F672" i="2"/>
  <c r="F671" i="2" s="1"/>
  <c r="F667" i="2" s="1"/>
  <c r="F666" i="2" s="1"/>
  <c r="F144" i="2"/>
  <c r="F143" i="2" s="1"/>
  <c r="G359" i="2"/>
  <c r="G330" i="2" s="1"/>
  <c r="G329" i="2" s="1"/>
  <c r="F695" i="2"/>
  <c r="F150" i="2"/>
  <c r="F149" i="2" s="1"/>
  <c r="F207" i="2"/>
  <c r="F200" i="2" s="1"/>
  <c r="F199" i="2" s="1"/>
  <c r="K572" i="2"/>
  <c r="K554" i="2"/>
  <c r="F626" i="2"/>
  <c r="G142" i="2"/>
  <c r="G141" i="2" s="1"/>
  <c r="G140" i="2" s="1"/>
  <c r="F377" i="2"/>
  <c r="F120" i="2"/>
  <c r="H425" i="2"/>
  <c r="H424" i="2" s="1"/>
  <c r="H423" i="2" s="1"/>
  <c r="F726" i="2"/>
  <c r="F725" i="2" s="1"/>
  <c r="F724" i="2" s="1"/>
  <c r="I207" i="2"/>
  <c r="I200" i="2" s="1"/>
  <c r="F131" i="2"/>
  <c r="F236" i="2"/>
  <c r="F235" i="2" s="1"/>
  <c r="H490" i="1"/>
  <c r="I490" i="1"/>
  <c r="E490" i="1"/>
  <c r="E487" i="1"/>
  <c r="F505" i="2" l="1"/>
  <c r="F521" i="2"/>
  <c r="F520" i="2" s="1"/>
  <c r="H199" i="2"/>
  <c r="H198" i="2" s="1"/>
  <c r="H197" i="2" s="1"/>
  <c r="H164" i="2" s="1"/>
  <c r="H780" i="2"/>
  <c r="H779" i="2" s="1"/>
  <c r="H781" i="2"/>
  <c r="I199" i="2"/>
  <c r="I198" i="2" s="1"/>
  <c r="I197" i="2" s="1"/>
  <c r="I164" i="2" s="1"/>
  <c r="G199" i="2"/>
  <c r="G198" i="2" s="1"/>
  <c r="G197" i="2" s="1"/>
  <c r="G164" i="2" s="1"/>
  <c r="I780" i="2"/>
  <c r="I779" i="2" s="1"/>
  <c r="I781" i="2"/>
  <c r="G682" i="2"/>
  <c r="G681" i="2" s="1"/>
  <c r="G680" i="2" s="1"/>
  <c r="G679" i="2" s="1"/>
  <c r="G256" i="2"/>
  <c r="H664" i="2"/>
  <c r="H663" i="2" s="1"/>
  <c r="H655" i="2" s="1"/>
  <c r="G664" i="2"/>
  <c r="G663" i="2" s="1"/>
  <c r="I664" i="2"/>
  <c r="I663" i="2" s="1"/>
  <c r="I655" i="2" s="1"/>
  <c r="I756" i="2"/>
  <c r="I755" i="2" s="1"/>
  <c r="I754" i="2" s="1"/>
  <c r="I438" i="2"/>
  <c r="I437" i="2" s="1"/>
  <c r="H681" i="2"/>
  <c r="H680" i="2" s="1"/>
  <c r="H679" i="2" s="1"/>
  <c r="I681" i="2"/>
  <c r="I680" i="2" s="1"/>
  <c r="I679" i="2" s="1"/>
  <c r="G756" i="2"/>
  <c r="G755" i="2" s="1"/>
  <c r="G754" i="2" s="1"/>
  <c r="G438" i="2"/>
  <c r="G437" i="2" s="1"/>
  <c r="H756" i="2"/>
  <c r="H755" i="2" s="1"/>
  <c r="H754" i="2" s="1"/>
  <c r="H438" i="2"/>
  <c r="H437" i="2" s="1"/>
  <c r="G782" i="2"/>
  <c r="G781" i="2" s="1"/>
  <c r="G657" i="2"/>
  <c r="G656" i="2" s="1"/>
  <c r="H550" i="2"/>
  <c r="H549" i="2" s="1"/>
  <c r="H452" i="2" s="1"/>
  <c r="H443" i="2" s="1"/>
  <c r="H407" i="2" s="1"/>
  <c r="H406" i="2" s="1"/>
  <c r="G550" i="2"/>
  <c r="G549" i="2" s="1"/>
  <c r="G480" i="2"/>
  <c r="I550" i="2"/>
  <c r="I549" i="2" s="1"/>
  <c r="I452" i="2" s="1"/>
  <c r="I443" i="2" s="1"/>
  <c r="I407" i="2" s="1"/>
  <c r="I406" i="2" s="1"/>
  <c r="I398" i="2" s="1"/>
  <c r="K513" i="2"/>
  <c r="F481" i="2"/>
  <c r="F469" i="2" s="1"/>
  <c r="H61" i="2"/>
  <c r="H60" i="2" s="1"/>
  <c r="H10" i="2" s="1"/>
  <c r="I61" i="2"/>
  <c r="I60" i="2" s="1"/>
  <c r="I10" i="2" s="1"/>
  <c r="F782" i="2"/>
  <c r="F596" i="2" s="1"/>
  <c r="F588" i="2" s="1"/>
  <c r="F447" i="2"/>
  <c r="F63" i="2"/>
  <c r="F570" i="2"/>
  <c r="F425" i="2"/>
  <c r="G130" i="2"/>
  <c r="G129" i="2" s="1"/>
  <c r="G128" i="2" s="1"/>
  <c r="G116" i="2" s="1"/>
  <c r="F683" i="2"/>
  <c r="F682" i="2" s="1"/>
  <c r="F659" i="2" s="1"/>
  <c r="F658" i="2" s="1"/>
  <c r="K782" i="2"/>
  <c r="H375" i="2"/>
  <c r="H374" i="2" s="1"/>
  <c r="H256" i="2" s="1"/>
  <c r="K592" i="2"/>
  <c r="I375" i="2"/>
  <c r="I374" i="2" s="1"/>
  <c r="I256" i="2" s="1"/>
  <c r="F142" i="2"/>
  <c r="H503" i="1"/>
  <c r="I503" i="1"/>
  <c r="E504" i="1"/>
  <c r="E503" i="1" s="1"/>
  <c r="I315" i="1"/>
  <c r="H316" i="1"/>
  <c r="H315" i="1" s="1"/>
  <c r="E316" i="1"/>
  <c r="E315" i="1" s="1"/>
  <c r="G479" i="2" l="1"/>
  <c r="G478" i="2" s="1"/>
  <c r="G452" i="2" s="1"/>
  <c r="G443" i="2" s="1"/>
  <c r="G407" i="2" s="1"/>
  <c r="G406" i="2" s="1"/>
  <c r="G398" i="2" s="1"/>
  <c r="H398" i="2"/>
  <c r="H9" i="2" s="1"/>
  <c r="G61" i="2"/>
  <c r="G60" i="2" s="1"/>
  <c r="G10" i="2" s="1"/>
  <c r="G780" i="2"/>
  <c r="G779" i="2" s="1"/>
  <c r="I638" i="2"/>
  <c r="G655" i="2"/>
  <c r="G638" i="2" s="1"/>
  <c r="H638" i="2"/>
  <c r="F455" i="2"/>
  <c r="I9" i="2"/>
  <c r="F62" i="2"/>
  <c r="F376" i="2"/>
  <c r="I476" i="1"/>
  <c r="H476" i="1"/>
  <c r="E476" i="1"/>
  <c r="I367" i="1"/>
  <c r="H367" i="1"/>
  <c r="E367" i="1"/>
  <c r="I365" i="1"/>
  <c r="H365" i="1"/>
  <c r="E365" i="1"/>
  <c r="I361" i="1"/>
  <c r="H361" i="1"/>
  <c r="E361" i="1"/>
  <c r="I320" i="1"/>
  <c r="H320" i="1"/>
  <c r="I261" i="1"/>
  <c r="H261" i="1"/>
  <c r="E261" i="1"/>
  <c r="I258" i="1"/>
  <c r="H258" i="1"/>
  <c r="E258" i="1"/>
  <c r="I253" i="1"/>
  <c r="H253" i="1"/>
  <c r="E253" i="1"/>
  <c r="I250" i="1"/>
  <c r="H250" i="1"/>
  <c r="E250" i="1"/>
  <c r="G9" i="2" l="1"/>
  <c r="F96" i="2"/>
  <c r="F95" i="2" s="1"/>
  <c r="E166" i="1"/>
  <c r="E147" i="1"/>
  <c r="G147" i="1" s="1"/>
  <c r="G146" i="1" s="1"/>
  <c r="G143" i="1" s="1"/>
  <c r="G142" i="1" s="1"/>
  <c r="I131" i="1"/>
  <c r="H131" i="1"/>
  <c r="E131" i="1"/>
  <c r="I129" i="1"/>
  <c r="H129" i="1"/>
  <c r="E129" i="1"/>
  <c r="F804" i="2" l="1"/>
  <c r="F794" i="2" s="1"/>
  <c r="F793" i="2" s="1"/>
  <c r="E97" i="1"/>
  <c r="G97" i="1" s="1"/>
  <c r="G96" i="1" s="1"/>
  <c r="G95" i="1" s="1"/>
  <c r="G85" i="1" s="1"/>
  <c r="G68" i="1" s="1"/>
  <c r="G9" i="1" s="1"/>
  <c r="I31" i="1"/>
  <c r="I29" i="1" s="1"/>
  <c r="H31" i="1"/>
  <c r="H29" i="1" s="1"/>
  <c r="E31" i="1"/>
  <c r="E30" i="1"/>
  <c r="E17" i="1"/>
  <c r="I12" i="1"/>
  <c r="H12" i="1"/>
  <c r="E12" i="1"/>
  <c r="E29" i="1" l="1"/>
  <c r="I506" i="1" l="1"/>
  <c r="H506" i="1"/>
  <c r="E506" i="1"/>
  <c r="I471" i="1"/>
  <c r="H471" i="1"/>
  <c r="E471" i="1"/>
  <c r="I401" i="1"/>
  <c r="H401" i="1"/>
  <c r="I356" i="1" l="1"/>
  <c r="H356" i="1"/>
  <c r="E356" i="1"/>
  <c r="I366" i="1"/>
  <c r="H366" i="1"/>
  <c r="E366" i="1"/>
  <c r="I364" i="1"/>
  <c r="H364" i="1"/>
  <c r="E364" i="1"/>
  <c r="I360" i="1"/>
  <c r="H360" i="1"/>
  <c r="E360" i="1"/>
  <c r="I352" i="1"/>
  <c r="I351" i="1" s="1"/>
  <c r="H352" i="1"/>
  <c r="H351" i="1" s="1"/>
  <c r="E352" i="1"/>
  <c r="E351" i="1" s="1"/>
  <c r="I341" i="1"/>
  <c r="I340" i="1" s="1"/>
  <c r="H341" i="1"/>
  <c r="H340" i="1" s="1"/>
  <c r="E341" i="1"/>
  <c r="E340" i="1" s="1"/>
  <c r="I314" i="1"/>
  <c r="H314" i="1"/>
  <c r="E314" i="1"/>
  <c r="I327" i="1"/>
  <c r="H327" i="1"/>
  <c r="E327" i="1"/>
  <c r="E320" i="1"/>
  <c r="I267" i="1"/>
  <c r="H267" i="1"/>
  <c r="E267" i="1"/>
  <c r="I218" i="1"/>
  <c r="H218" i="1"/>
  <c r="E218" i="1"/>
  <c r="I170" i="1"/>
  <c r="H170" i="1"/>
  <c r="I122" i="1"/>
  <c r="H359" i="1" l="1"/>
  <c r="H355" i="1" s="1"/>
  <c r="H350" i="1" s="1"/>
  <c r="I359" i="1"/>
  <c r="I355" i="1" s="1"/>
  <c r="I350" i="1" s="1"/>
  <c r="E359" i="1"/>
  <c r="E355" i="1" s="1"/>
  <c r="E350" i="1" s="1"/>
  <c r="D619" i="1" l="1"/>
  <c r="D618" i="1" s="1"/>
  <c r="I618" i="1"/>
  <c r="H618" i="1"/>
  <c r="E618" i="1"/>
  <c r="I610" i="1"/>
  <c r="H610" i="1"/>
  <c r="E610" i="1"/>
  <c r="D610" i="1"/>
  <c r="I608" i="1"/>
  <c r="H608" i="1"/>
  <c r="E608" i="1"/>
  <c r="D608" i="1"/>
  <c r="I604" i="1"/>
  <c r="H604" i="1"/>
  <c r="E604" i="1"/>
  <c r="D604" i="1"/>
  <c r="I602" i="1"/>
  <c r="H602" i="1"/>
  <c r="E602" i="1"/>
  <c r="D602" i="1"/>
  <c r="I600" i="1"/>
  <c r="H600" i="1"/>
  <c r="E600" i="1"/>
  <c r="D600" i="1"/>
  <c r="I598" i="1"/>
  <c r="H598" i="1"/>
  <c r="E598" i="1"/>
  <c r="D598" i="1"/>
  <c r="I597" i="1"/>
  <c r="H597" i="1"/>
  <c r="E597" i="1"/>
  <c r="I592" i="1"/>
  <c r="H592" i="1"/>
  <c r="E594" i="1"/>
  <c r="D594" i="1"/>
  <c r="D592" i="1" s="1"/>
  <c r="I590" i="1"/>
  <c r="H590" i="1"/>
  <c r="E590" i="1"/>
  <c r="D590" i="1"/>
  <c r="I588" i="1"/>
  <c r="H588" i="1"/>
  <c r="E588" i="1"/>
  <c r="D588" i="1"/>
  <c r="I586" i="1"/>
  <c r="H586" i="1"/>
  <c r="E586" i="1"/>
  <c r="D586" i="1"/>
  <c r="I585" i="1"/>
  <c r="I583" i="1" s="1"/>
  <c r="H585" i="1"/>
  <c r="H583" i="1" s="1"/>
  <c r="E585" i="1"/>
  <c r="D583" i="1"/>
  <c r="I581" i="1"/>
  <c r="I579" i="1" s="1"/>
  <c r="H581" i="1"/>
  <c r="H579" i="1" s="1"/>
  <c r="E581" i="1"/>
  <c r="E579" i="1" s="1"/>
  <c r="D579" i="1"/>
  <c r="I573" i="1"/>
  <c r="I570" i="1" s="1"/>
  <c r="H573" i="1"/>
  <c r="H570" i="1" s="1"/>
  <c r="E575" i="1"/>
  <c r="D573" i="1"/>
  <c r="I516" i="1"/>
  <c r="I515" i="1" s="1"/>
  <c r="H516" i="1"/>
  <c r="H515" i="1" s="1"/>
  <c r="E516" i="1"/>
  <c r="E515" i="1" s="1"/>
  <c r="D516" i="1"/>
  <c r="D515" i="1" s="1"/>
  <c r="I510" i="1"/>
  <c r="I509" i="1" s="1"/>
  <c r="H510" i="1"/>
  <c r="H509" i="1" s="1"/>
  <c r="E510" i="1"/>
  <c r="E509" i="1" s="1"/>
  <c r="D510" i="1"/>
  <c r="D509" i="1" s="1"/>
  <c r="D507" i="1"/>
  <c r="D506" i="1" s="1"/>
  <c r="E567" i="1"/>
  <c r="D567" i="1"/>
  <c r="D566" i="1" s="1"/>
  <c r="I566" i="1"/>
  <c r="H566" i="1"/>
  <c r="E566" i="1"/>
  <c r="I561" i="1"/>
  <c r="H561" i="1"/>
  <c r="D561" i="1"/>
  <c r="I557" i="1"/>
  <c r="H557" i="1"/>
  <c r="E557" i="1"/>
  <c r="E556" i="1" s="1"/>
  <c r="E553" i="1" s="1"/>
  <c r="D557" i="1"/>
  <c r="D556" i="1" s="1"/>
  <c r="D554" i="1"/>
  <c r="D547" i="1"/>
  <c r="D546" i="1" s="1"/>
  <c r="D545" i="1" s="1"/>
  <c r="D544" i="1" s="1"/>
  <c r="I546" i="1"/>
  <c r="I545" i="1" s="1"/>
  <c r="I544" i="1" s="1"/>
  <c r="H546" i="1"/>
  <c r="H545" i="1" s="1"/>
  <c r="H544" i="1" s="1"/>
  <c r="E546" i="1"/>
  <c r="E545" i="1" s="1"/>
  <c r="E544" i="1" s="1"/>
  <c r="D542" i="1"/>
  <c r="D541" i="1" s="1"/>
  <c r="I541" i="1"/>
  <c r="H541" i="1"/>
  <c r="E541" i="1"/>
  <c r="E539" i="1"/>
  <c r="D538" i="1"/>
  <c r="D536" i="1"/>
  <c r="I533" i="1"/>
  <c r="I529" i="1" s="1"/>
  <c r="H533" i="1"/>
  <c r="H529" i="1" s="1"/>
  <c r="E533" i="1"/>
  <c r="D533" i="1"/>
  <c r="D532" i="1"/>
  <c r="D530" i="1"/>
  <c r="I521" i="1"/>
  <c r="H521" i="1"/>
  <c r="E521" i="1"/>
  <c r="D526" i="1"/>
  <c r="D524" i="1"/>
  <c r="D522" i="1"/>
  <c r="D503" i="1"/>
  <c r="D502" i="1" s="1"/>
  <c r="D501" i="1" s="1"/>
  <c r="I502" i="1"/>
  <c r="I501" i="1" s="1"/>
  <c r="H502" i="1"/>
  <c r="H501" i="1" s="1"/>
  <c r="E502" i="1"/>
  <c r="E501" i="1" s="1"/>
  <c r="D499" i="1"/>
  <c r="D498" i="1" s="1"/>
  <c r="D497" i="1" s="1"/>
  <c r="I498" i="1"/>
  <c r="I497" i="1" s="1"/>
  <c r="H498" i="1"/>
  <c r="H497" i="1" s="1"/>
  <c r="E498" i="1"/>
  <c r="E497" i="1" s="1"/>
  <c r="D496" i="1"/>
  <c r="D495" i="1" s="1"/>
  <c r="I495" i="1"/>
  <c r="H495" i="1"/>
  <c r="E495" i="1"/>
  <c r="D492" i="1"/>
  <c r="D490" i="1"/>
  <c r="I486" i="1"/>
  <c r="I485" i="1" s="1"/>
  <c r="H486" i="1"/>
  <c r="H485" i="1" s="1"/>
  <c r="E486" i="1"/>
  <c r="E485" i="1" s="1"/>
  <c r="D486" i="1"/>
  <c r="D483" i="1"/>
  <c r="D482" i="1" s="1"/>
  <c r="I482" i="1"/>
  <c r="H482" i="1"/>
  <c r="E482" i="1"/>
  <c r="D480" i="1"/>
  <c r="I479" i="1"/>
  <c r="H479" i="1"/>
  <c r="E479" i="1"/>
  <c r="D479" i="1"/>
  <c r="I475" i="1"/>
  <c r="I474" i="1" s="1"/>
  <c r="H475" i="1"/>
  <c r="H474" i="1" s="1"/>
  <c r="E475" i="1"/>
  <c r="E474" i="1" s="1"/>
  <c r="D475" i="1"/>
  <c r="D474" i="1" s="1"/>
  <c r="D471" i="1"/>
  <c r="D457" i="1"/>
  <c r="D456" i="1" s="1"/>
  <c r="I456" i="1"/>
  <c r="H456" i="1"/>
  <c r="E456" i="1"/>
  <c r="D449" i="1"/>
  <c r="D445" i="1"/>
  <c r="D441" i="1"/>
  <c r="D440" i="1"/>
  <c r="I439" i="1"/>
  <c r="H439" i="1"/>
  <c r="E439" i="1"/>
  <c r="I435" i="1"/>
  <c r="I434" i="1" s="1"/>
  <c r="H435" i="1"/>
  <c r="H434" i="1" s="1"/>
  <c r="E435" i="1"/>
  <c r="E434" i="1" s="1"/>
  <c r="D435" i="1"/>
  <c r="D429" i="1"/>
  <c r="I427" i="1"/>
  <c r="H427" i="1"/>
  <c r="E427" i="1"/>
  <c r="D427" i="1"/>
  <c r="D426" i="1"/>
  <c r="D421" i="1"/>
  <c r="D418" i="1"/>
  <c r="D416" i="1"/>
  <c r="E415" i="1"/>
  <c r="E411" i="1" s="1"/>
  <c r="E401" i="1" s="1"/>
  <c r="D411" i="1"/>
  <c r="I398" i="1"/>
  <c r="I397" i="1" s="1"/>
  <c r="H398" i="1"/>
  <c r="H397" i="1" s="1"/>
  <c r="E398" i="1"/>
  <c r="E397" i="1" s="1"/>
  <c r="D398" i="1"/>
  <c r="D397" i="1" s="1"/>
  <c r="E391" i="1"/>
  <c r="E390" i="1" s="1"/>
  <c r="D391" i="1"/>
  <c r="D390" i="1" s="1"/>
  <c r="I390" i="1"/>
  <c r="I382" i="1" s="1"/>
  <c r="H390" i="1"/>
  <c r="H382" i="1" s="1"/>
  <c r="E384" i="1"/>
  <c r="D384" i="1"/>
  <c r="I376" i="1"/>
  <c r="H376" i="1"/>
  <c r="E376" i="1"/>
  <c r="E370" i="1" s="1"/>
  <c r="D376" i="1"/>
  <c r="I371" i="1"/>
  <c r="H371" i="1"/>
  <c r="H370" i="1" s="1"/>
  <c r="D371" i="1"/>
  <c r="D350" i="1"/>
  <c r="D348" i="1"/>
  <c r="D345" i="1"/>
  <c r="D342" i="1"/>
  <c r="D341" i="1" s="1"/>
  <c r="I339" i="1"/>
  <c r="H339" i="1"/>
  <c r="E339" i="1"/>
  <c r="D336" i="1"/>
  <c r="D334" i="1"/>
  <c r="D333" i="1"/>
  <c r="I332" i="1"/>
  <c r="I331" i="1" s="1"/>
  <c r="H332" i="1"/>
  <c r="H331" i="1" s="1"/>
  <c r="E332" i="1"/>
  <c r="E331" i="1" s="1"/>
  <c r="D328" i="1"/>
  <c r="D325" i="1"/>
  <c r="D321" i="1"/>
  <c r="D315" i="1"/>
  <c r="D308" i="1"/>
  <c r="D307" i="1" s="1"/>
  <c r="I307" i="1"/>
  <c r="I306" i="1" s="1"/>
  <c r="H307" i="1"/>
  <c r="H306" i="1" s="1"/>
  <c r="E307" i="1"/>
  <c r="E306" i="1" s="1"/>
  <c r="I304" i="1"/>
  <c r="I303" i="1" s="1"/>
  <c r="I302" i="1" s="1"/>
  <c r="H304" i="1"/>
  <c r="H303" i="1" s="1"/>
  <c r="H302" i="1" s="1"/>
  <c r="E304" i="1"/>
  <c r="E303" i="1" s="1"/>
  <c r="E302" i="1" s="1"/>
  <c r="D304" i="1"/>
  <c r="D303" i="1" s="1"/>
  <c r="D302" i="1" s="1"/>
  <c r="D298" i="1"/>
  <c r="D296" i="1"/>
  <c r="I295" i="1"/>
  <c r="I294" i="1" s="1"/>
  <c r="H295" i="1"/>
  <c r="H294" i="1" s="1"/>
  <c r="E295" i="1"/>
  <c r="E294" i="1" s="1"/>
  <c r="D285" i="1"/>
  <c r="I281" i="1"/>
  <c r="I270" i="1" s="1"/>
  <c r="H281" i="1"/>
  <c r="E281" i="1"/>
  <c r="D281" i="1"/>
  <c r="H275" i="1"/>
  <c r="D275" i="1"/>
  <c r="K273" i="1"/>
  <c r="E271" i="1"/>
  <c r="D271" i="1"/>
  <c r="D268" i="1"/>
  <c r="D265" i="1"/>
  <c r="D263" i="1"/>
  <c r="I262" i="1"/>
  <c r="H262" i="1"/>
  <c r="E262" i="1"/>
  <c r="I260" i="1"/>
  <c r="I259" i="1" s="1"/>
  <c r="H260" i="1"/>
  <c r="H259" i="1" s="1"/>
  <c r="E260" i="1"/>
  <c r="E259" i="1" s="1"/>
  <c r="D260" i="1"/>
  <c r="D259" i="1" s="1"/>
  <c r="I257" i="1"/>
  <c r="I256" i="1" s="1"/>
  <c r="H257" i="1"/>
  <c r="H256" i="1" s="1"/>
  <c r="E257" i="1"/>
  <c r="E256" i="1" s="1"/>
  <c r="D257" i="1"/>
  <c r="D256" i="1" s="1"/>
  <c r="D254" i="1"/>
  <c r="I252" i="1"/>
  <c r="I251" i="1" s="1"/>
  <c r="H252" i="1"/>
  <c r="H251" i="1" s="1"/>
  <c r="E252" i="1"/>
  <c r="E251" i="1" s="1"/>
  <c r="D252" i="1"/>
  <c r="I249" i="1"/>
  <c r="I248" i="1" s="1"/>
  <c r="H249" i="1"/>
  <c r="H248" i="1" s="1"/>
  <c r="E249" i="1"/>
  <c r="E248" i="1" s="1"/>
  <c r="D249" i="1"/>
  <c r="D248" i="1" s="1"/>
  <c r="D244" i="1"/>
  <c r="D242" i="1"/>
  <c r="I232" i="1"/>
  <c r="H232" i="1"/>
  <c r="E239" i="1"/>
  <c r="D239" i="1"/>
  <c r="D237" i="1"/>
  <c r="D234" i="1"/>
  <c r="I229" i="1"/>
  <c r="H229" i="1"/>
  <c r="E229" i="1"/>
  <c r="D229" i="1"/>
  <c r="D226" i="1"/>
  <c r="D224" i="1"/>
  <c r="I221" i="1"/>
  <c r="H221" i="1"/>
  <c r="E221" i="1"/>
  <c r="D222" i="1"/>
  <c r="D219" i="1"/>
  <c r="D213" i="1"/>
  <c r="D211" i="1"/>
  <c r="I210" i="1"/>
  <c r="H210" i="1"/>
  <c r="E210" i="1"/>
  <c r="D207" i="1"/>
  <c r="D206" i="1" s="1"/>
  <c r="D205" i="1" s="1"/>
  <c r="I206" i="1"/>
  <c r="I205" i="1" s="1"/>
  <c r="H206" i="1"/>
  <c r="H205" i="1" s="1"/>
  <c r="E206" i="1"/>
  <c r="E205" i="1" s="1"/>
  <c r="D203" i="1"/>
  <c r="D202" i="1" s="1"/>
  <c r="D201" i="1" s="1"/>
  <c r="I202" i="1"/>
  <c r="I201" i="1" s="1"/>
  <c r="H202" i="1"/>
  <c r="H201" i="1" s="1"/>
  <c r="E202" i="1"/>
  <c r="E201" i="1" s="1"/>
  <c r="D199" i="1"/>
  <c r="D198" i="1" s="1"/>
  <c r="D197" i="1" s="1"/>
  <c r="I198" i="1"/>
  <c r="I197" i="1" s="1"/>
  <c r="H198" i="1"/>
  <c r="H197" i="1" s="1"/>
  <c r="E198" i="1"/>
  <c r="E197" i="1" s="1"/>
  <c r="D195" i="1"/>
  <c r="D194" i="1" s="1"/>
  <c r="D193" i="1" s="1"/>
  <c r="I194" i="1"/>
  <c r="I193" i="1" s="1"/>
  <c r="H194" i="1"/>
  <c r="H193" i="1" s="1"/>
  <c r="E194" i="1"/>
  <c r="E193" i="1" s="1"/>
  <c r="D190" i="1"/>
  <c r="D189" i="1" s="1"/>
  <c r="D188" i="1" s="1"/>
  <c r="I189" i="1"/>
  <c r="I188" i="1" s="1"/>
  <c r="H189" i="1"/>
  <c r="H188" i="1" s="1"/>
  <c r="E189" i="1"/>
  <c r="E188" i="1" s="1"/>
  <c r="P187" i="1"/>
  <c r="R186" i="1"/>
  <c r="R187" i="1" s="1"/>
  <c r="Q186" i="1"/>
  <c r="Q187" i="1" s="1"/>
  <c r="O186" i="1"/>
  <c r="O187" i="1" s="1"/>
  <c r="D183" i="1"/>
  <c r="E171" i="1"/>
  <c r="E170" i="1" s="1"/>
  <c r="E169" i="1" s="1"/>
  <c r="D171" i="1"/>
  <c r="I169" i="1"/>
  <c r="H169" i="1"/>
  <c r="I165" i="1"/>
  <c r="I158" i="1" s="1"/>
  <c r="H165" i="1"/>
  <c r="H158" i="1" s="1"/>
  <c r="E165" i="1"/>
  <c r="E158" i="1" s="1"/>
  <c r="D165" i="1"/>
  <c r="D162" i="1"/>
  <c r="D159" i="1"/>
  <c r="D156" i="1"/>
  <c r="D154" i="1"/>
  <c r="I153" i="1"/>
  <c r="H153" i="1"/>
  <c r="E153" i="1"/>
  <c r="D148" i="1"/>
  <c r="I143" i="1"/>
  <c r="I142" i="1" s="1"/>
  <c r="H143" i="1"/>
  <c r="H142" i="1" s="1"/>
  <c r="E146" i="1"/>
  <c r="E143" i="1" s="1"/>
  <c r="E142" i="1" s="1"/>
  <c r="D144" i="1"/>
  <c r="D140" i="1"/>
  <c r="D138" i="1"/>
  <c r="D136" i="1"/>
  <c r="D134" i="1"/>
  <c r="D132" i="1"/>
  <c r="I130" i="1"/>
  <c r="H130" i="1"/>
  <c r="E130" i="1"/>
  <c r="D130" i="1"/>
  <c r="I128" i="1"/>
  <c r="I127" i="1" s="1"/>
  <c r="H128" i="1"/>
  <c r="E128" i="1"/>
  <c r="D128" i="1"/>
  <c r="I114" i="1"/>
  <c r="H115" i="1"/>
  <c r="H114" i="1" s="1"/>
  <c r="E115" i="1"/>
  <c r="D115" i="1"/>
  <c r="D114" i="1" s="1"/>
  <c r="D112" i="1"/>
  <c r="D110" i="1"/>
  <c r="D108" i="1"/>
  <c r="D106" i="1"/>
  <c r="D104" i="1"/>
  <c r="D102" i="1"/>
  <c r="D100" i="1"/>
  <c r="D98" i="1"/>
  <c r="I95" i="1"/>
  <c r="H95" i="1"/>
  <c r="E96" i="1"/>
  <c r="E95" i="1" s="1"/>
  <c r="D96" i="1"/>
  <c r="I91" i="1"/>
  <c r="H91" i="1"/>
  <c r="E91" i="1"/>
  <c r="D91" i="1"/>
  <c r="E89" i="1"/>
  <c r="D89" i="1"/>
  <c r="I87" i="1"/>
  <c r="H87" i="1"/>
  <c r="E87" i="1"/>
  <c r="D87" i="1"/>
  <c r="D83" i="1"/>
  <c r="D82" i="1" s="1"/>
  <c r="I82" i="1"/>
  <c r="H82" i="1"/>
  <c r="E82" i="1"/>
  <c r="D80" i="1"/>
  <c r="D78" i="1"/>
  <c r="D76" i="1"/>
  <c r="D73" i="1"/>
  <c r="I70" i="1"/>
  <c r="H70" i="1"/>
  <c r="E70" i="1"/>
  <c r="D71" i="1"/>
  <c r="D66" i="1"/>
  <c r="D64" i="1"/>
  <c r="D62" i="1"/>
  <c r="I61" i="1"/>
  <c r="I60" i="1" s="1"/>
  <c r="H61" i="1"/>
  <c r="H60" i="1" s="1"/>
  <c r="E61" i="1"/>
  <c r="E60" i="1" s="1"/>
  <c r="D57" i="1"/>
  <c r="D54" i="1"/>
  <c r="D52" i="1"/>
  <c r="D50" i="1"/>
  <c r="D47" i="1"/>
  <c r="D44" i="1"/>
  <c r="D42" i="1"/>
  <c r="D39" i="1"/>
  <c r="D36" i="1"/>
  <c r="I35" i="1"/>
  <c r="I34" i="1" s="1"/>
  <c r="H35" i="1"/>
  <c r="H34" i="1" s="1"/>
  <c r="E35" i="1"/>
  <c r="E34" i="1" s="1"/>
  <c r="D32" i="1"/>
  <c r="I26" i="1"/>
  <c r="I25" i="1" s="1"/>
  <c r="E26" i="1"/>
  <c r="E25" i="1" s="1"/>
  <c r="D29" i="1"/>
  <c r="D27" i="1"/>
  <c r="D23" i="1"/>
  <c r="D21" i="1"/>
  <c r="I20" i="1"/>
  <c r="H20" i="1"/>
  <c r="E20" i="1"/>
  <c r="D18" i="1"/>
  <c r="E16" i="1"/>
  <c r="E15" i="1" s="1"/>
  <c r="D16" i="1"/>
  <c r="I15" i="1"/>
  <c r="H15" i="1"/>
  <c r="D13" i="1"/>
  <c r="D12" i="1"/>
  <c r="D86" i="1" l="1"/>
  <c r="D278" i="1"/>
  <c r="I86" i="1"/>
  <c r="H578" i="1"/>
  <c r="H569" i="1" s="1"/>
  <c r="I578" i="1"/>
  <c r="I569" i="1" s="1"/>
  <c r="I370" i="1"/>
  <c r="E86" i="1"/>
  <c r="H209" i="1"/>
  <c r="E573" i="1"/>
  <c r="E570" i="1" s="1"/>
  <c r="G575" i="1"/>
  <c r="G573" i="1" s="1"/>
  <c r="G570" i="1" s="1"/>
  <c r="E583" i="1"/>
  <c r="G585" i="1"/>
  <c r="G583" i="1" s="1"/>
  <c r="E592" i="1"/>
  <c r="G594" i="1"/>
  <c r="G592" i="1" s="1"/>
  <c r="I209" i="1"/>
  <c r="E209" i="1"/>
  <c r="E233" i="1"/>
  <c r="E232" i="1" s="1"/>
  <c r="E127" i="1"/>
  <c r="E126" i="1" s="1"/>
  <c r="H127" i="1"/>
  <c r="H126" i="1" s="1"/>
  <c r="H420" i="1"/>
  <c r="H396" i="1" s="1"/>
  <c r="E420" i="1"/>
  <c r="E396" i="1" s="1"/>
  <c r="I69" i="1"/>
  <c r="H152" i="1"/>
  <c r="H270" i="1"/>
  <c r="H247" i="1" s="1"/>
  <c r="H246" i="1" s="1"/>
  <c r="H381" i="1"/>
  <c r="H369" i="1" s="1"/>
  <c r="E529" i="1"/>
  <c r="E520" i="1" s="1"/>
  <c r="E270" i="1"/>
  <c r="E247" i="1" s="1"/>
  <c r="E246" i="1" s="1"/>
  <c r="I553" i="1"/>
  <c r="I552" i="1" s="1"/>
  <c r="D221" i="1"/>
  <c r="H26" i="1"/>
  <c r="H25" i="1" s="1"/>
  <c r="I126" i="1"/>
  <c r="I420" i="1"/>
  <c r="I396" i="1" s="1"/>
  <c r="D210" i="1"/>
  <c r="I330" i="1"/>
  <c r="D370" i="1"/>
  <c r="D70" i="1"/>
  <c r="D69" i="1" s="1"/>
  <c r="D153" i="1"/>
  <c r="H11" i="1"/>
  <c r="I11" i="1"/>
  <c r="I10" i="1" s="1"/>
  <c r="E69" i="1"/>
  <c r="D439" i="1"/>
  <c r="D438" i="1" s="1"/>
  <c r="D35" i="1"/>
  <c r="D34" i="1" s="1"/>
  <c r="D314" i="1"/>
  <c r="D306" i="1" s="1"/>
  <c r="I381" i="1"/>
  <c r="I369" i="1" s="1"/>
  <c r="D95" i="1"/>
  <c r="D85" i="1" s="1"/>
  <c r="D127" i="1"/>
  <c r="D126" i="1" s="1"/>
  <c r="D158" i="1"/>
  <c r="E382" i="1"/>
  <c r="D20" i="1"/>
  <c r="D15" i="1"/>
  <c r="D61" i="1"/>
  <c r="D60" i="1" s="1"/>
  <c r="E114" i="1"/>
  <c r="E85" i="1" s="1"/>
  <c r="K142" i="1"/>
  <c r="Q188" i="1"/>
  <c r="I505" i="1"/>
  <c r="I85" i="1"/>
  <c r="D170" i="1"/>
  <c r="D169" i="1" s="1"/>
  <c r="D332" i="1"/>
  <c r="D331" i="1" s="1"/>
  <c r="D420" i="1"/>
  <c r="I478" i="1"/>
  <c r="I477" i="1" s="1"/>
  <c r="E505" i="1"/>
  <c r="D570" i="1"/>
  <c r="K188" i="1"/>
  <c r="D267" i="1"/>
  <c r="E381" i="1"/>
  <c r="E369" i="1" s="1"/>
  <c r="D401" i="1"/>
  <c r="D485" i="1"/>
  <c r="D478" i="1" s="1"/>
  <c r="D477" i="1" s="1"/>
  <c r="E552" i="1"/>
  <c r="H553" i="1"/>
  <c r="H552" i="1" s="1"/>
  <c r="E11" i="1"/>
  <c r="E10" i="1" s="1"/>
  <c r="O188" i="1"/>
  <c r="H192" i="1"/>
  <c r="D382" i="1"/>
  <c r="D529" i="1"/>
  <c r="H505" i="1"/>
  <c r="H69" i="1"/>
  <c r="K169" i="1"/>
  <c r="D218" i="1"/>
  <c r="D233" i="1"/>
  <c r="D232" i="1" s="1"/>
  <c r="D262" i="1"/>
  <c r="D295" i="1"/>
  <c r="D294" i="1" s="1"/>
  <c r="D340" i="1"/>
  <c r="D339" i="1" s="1"/>
  <c r="H478" i="1"/>
  <c r="H477" i="1" s="1"/>
  <c r="I520" i="1"/>
  <c r="D26" i="1"/>
  <c r="D25" i="1" s="1"/>
  <c r="I152" i="1"/>
  <c r="D192" i="1"/>
  <c r="H438" i="1"/>
  <c r="I438" i="1"/>
  <c r="D521" i="1"/>
  <c r="H86" i="1"/>
  <c r="D143" i="1"/>
  <c r="D142" i="1" s="1"/>
  <c r="D251" i="1"/>
  <c r="H520" i="1"/>
  <c r="D553" i="1"/>
  <c r="D552" i="1" s="1"/>
  <c r="E578" i="1"/>
  <c r="E569" i="1" s="1"/>
  <c r="D578" i="1"/>
  <c r="E152" i="1"/>
  <c r="I192" i="1"/>
  <c r="D270" i="1"/>
  <c r="E330" i="1"/>
  <c r="E438" i="1"/>
  <c r="E478" i="1"/>
  <c r="E477" i="1" s="1"/>
  <c r="D505" i="1"/>
  <c r="I247" i="1"/>
  <c r="I246" i="1" s="1"/>
  <c r="H330" i="1"/>
  <c r="E192" i="1"/>
  <c r="D381" i="1"/>
  <c r="G578" i="1" l="1"/>
  <c r="G569" i="1"/>
  <c r="G630" i="1" s="1"/>
  <c r="C19" i="5" s="1"/>
  <c r="K126" i="1"/>
  <c r="I368" i="1"/>
  <c r="E368" i="1"/>
  <c r="H368" i="1"/>
  <c r="D520" i="1"/>
  <c r="D152" i="1"/>
  <c r="D68" i="1" s="1"/>
  <c r="H10" i="1"/>
  <c r="D11" i="1"/>
  <c r="D10" i="1" s="1"/>
  <c r="D369" i="1"/>
  <c r="D247" i="1"/>
  <c r="D246" i="1" s="1"/>
  <c r="H85" i="1"/>
  <c r="H68" i="1" s="1"/>
  <c r="D330" i="1"/>
  <c r="D209" i="1"/>
  <c r="I68" i="1"/>
  <c r="I9" i="1" s="1"/>
  <c r="I630" i="1" s="1"/>
  <c r="E19" i="5" s="1"/>
  <c r="D396" i="1"/>
  <c r="D569" i="1"/>
  <c r="K152" i="1"/>
  <c r="E68" i="1"/>
  <c r="E9" i="1" l="1"/>
  <c r="E630" i="1" s="1"/>
  <c r="C18" i="5" s="1"/>
  <c r="C17" i="5" s="1"/>
  <c r="C16" i="5" s="1"/>
  <c r="H9" i="1"/>
  <c r="H630" i="1" s="1"/>
  <c r="D19" i="5" s="1"/>
  <c r="D368" i="1"/>
  <c r="D9" i="1" s="1"/>
  <c r="D630" i="1" s="1"/>
  <c r="C11" i="5" l="1"/>
  <c r="C10" i="5" s="1"/>
  <c r="C20" i="5" s="1"/>
  <c r="E16" i="5"/>
  <c r="E18" i="5"/>
  <c r="E17" i="5"/>
  <c r="D18" i="5"/>
  <c r="D17" i="5"/>
  <c r="D16" i="5"/>
  <c r="D11" i="5" l="1"/>
  <c r="D10" i="5" s="1"/>
  <c r="D20" i="5" s="1"/>
  <c r="E11" i="5"/>
  <c r="E10" i="5" s="1"/>
  <c r="E20" i="5" s="1"/>
  <c r="G793" i="2"/>
  <c r="G792" i="2"/>
  <c r="G778" i="2" s="1"/>
  <c r="G777" i="2" s="1"/>
  <c r="G804" i="2" s="1"/>
  <c r="H793" i="2"/>
  <c r="H792" i="2" s="1"/>
  <c r="H778" i="2" s="1"/>
  <c r="H777" i="2" s="1"/>
  <c r="H804" i="2" s="1"/>
  <c r="I793" i="2"/>
  <c r="I792" i="2"/>
  <c r="I778" i="2"/>
  <c r="I777" i="2"/>
  <c r="I804" i="2" s="1"/>
</calcChain>
</file>

<file path=xl/sharedStrings.xml><?xml version="1.0" encoding="utf-8"?>
<sst xmlns="http://schemas.openxmlformats.org/spreadsheetml/2006/main" count="3488" uniqueCount="1412">
  <si>
    <t>Целевая статья</t>
  </si>
  <si>
    <t>Вид расходов</t>
  </si>
  <si>
    <t>Направление расходов (отрасль), наименование показателя</t>
  </si>
  <si>
    <t>2023 год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</si>
  <si>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</si>
  <si>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</si>
  <si>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</si>
  <si>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</si>
  <si>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</si>
  <si>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</si>
  <si>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</si>
  <si>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</si>
  <si>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01 1 10 00000</t>
  </si>
  <si>
    <t>Основное мероприятие "Обеспечение хранения архивных дел в соответствии с требованиями действующего законодательства Российской Федерации, расширение объемов архивного хранения"</t>
  </si>
  <si>
    <t>Создание электронного фонда  пользования архивных документов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</si>
  <si>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</si>
  <si>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</si>
  <si>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</si>
  <si>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</si>
  <si>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Перевод муниципальных услуг в электронный вид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</si>
  <si>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</si>
  <si>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</si>
  <si>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</si>
  <si>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</si>
  <si>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</si>
  <si>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</si>
  <si>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</si>
  <si>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</si>
  <si>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</si>
  <si>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</si>
  <si>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</si>
  <si>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</si>
  <si>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</si>
  <si>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</si>
  <si>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</si>
  <si>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</si>
  <si>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</si>
  <si>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</si>
  <si>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</si>
  <si>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01 3 10 2С050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</si>
  <si>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</si>
  <si>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</si>
  <si>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</si>
  <si>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</si>
  <si>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</si>
  <si>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</si>
  <si>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</si>
  <si>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</si>
  <si>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</si>
  <si>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</si>
  <si>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</si>
  <si>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</si>
  <si>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</si>
  <si>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</si>
  <si>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</si>
  <si>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</si>
  <si>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</si>
  <si>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</si>
  <si>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</si>
  <si>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4У091</t>
  </si>
  <si>
    <t>Изготовление символики Юсьвинского муниципального округа Пермского края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</si>
  <si>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</si>
  <si>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</si>
  <si>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</si>
  <si>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</si>
  <si>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</si>
  <si>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</si>
  <si>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</si>
  <si>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</si>
  <si>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</si>
  <si>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</si>
  <si>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</si>
  <si>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</si>
  <si>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</si>
  <si>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</si>
  <si>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</si>
  <si>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</si>
  <si>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</si>
  <si>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</si>
  <si>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</si>
  <si>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</si>
  <si>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02 1 20 00000</t>
  </si>
  <si>
    <t>Основное мероприятие "Содействие обновлению содержания образования и модернизации образовательного процесса в дошкольных образовательных учреждениях"</t>
  </si>
  <si>
    <t>02 1 20 4Н015</t>
  </si>
  <si>
    <t>Формирование развивающей  предметно-познавательной среды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</si>
  <si>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</si>
  <si>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</si>
  <si>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</si>
  <si>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</si>
  <si>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</si>
  <si>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</si>
  <si>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</si>
  <si>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</si>
  <si>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</si>
  <si>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</si>
  <si>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</si>
  <si>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</si>
  <si>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</si>
  <si>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</si>
  <si>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</si>
  <si>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</si>
  <si>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</si>
  <si>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</si>
  <si>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</si>
  <si>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</si>
  <si>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</si>
  <si>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</si>
  <si>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Предоставление мер социальной поддержки обучающимся из многодетных малоимущих семей</t>
  </si>
  <si>
    <t>02 2 20 2Н026</t>
  </si>
  <si>
    <t>Предоставление мер социальной поддержки обучающимся из малоимущих семей.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</si>
  <si>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</si>
  <si>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</si>
  <si>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</si>
  <si>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новое мероприятие</t>
  </si>
  <si>
    <t>Оснащение муниципальных образовательных организаций оборудованием, средствами обученияи воспитания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</si>
  <si>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</si>
  <si>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</si>
  <si>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</si>
  <si>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</si>
  <si>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</si>
  <si>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</si>
  <si>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</si>
  <si>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</si>
  <si>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</si>
  <si>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</si>
  <si>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</si>
  <si>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</si>
  <si>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</si>
  <si>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</si>
  <si>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Предоставление дополнительного образования детям в области физкультурно-спортивной  направленности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</si>
  <si>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</si>
  <si>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</si>
  <si>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</si>
  <si>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</si>
  <si>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</si>
  <si>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</si>
  <si>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</si>
  <si>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</si>
  <si>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</si>
  <si>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</si>
  <si>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</si>
  <si>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</si>
  <si>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</si>
  <si>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</si>
  <si>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</si>
  <si>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</si>
  <si>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</si>
  <si>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</si>
  <si>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</si>
  <si>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</si>
  <si>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</si>
  <si>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</si>
  <si>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</si>
  <si>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</si>
  <si>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</si>
  <si>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</si>
  <si>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</si>
  <si>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</si>
  <si>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</si>
  <si>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</si>
  <si>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</si>
  <si>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</si>
  <si>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</si>
  <si>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</si>
  <si>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</si>
  <si>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</si>
  <si>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</si>
  <si>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</si>
  <si>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</si>
  <si>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6 10 SP040</t>
  </si>
  <si>
    <t>Мероприятия по подготовке образовательных учреждений к лицензированию и устранение предписаний надзорных органов</t>
  </si>
  <si>
    <t>в том числе за счет бюджета Пермского края</t>
  </si>
  <si>
    <t>в том числе за счет местного бюджета</t>
  </si>
  <si>
    <t>02 6 10 4Н100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</si>
  <si>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</si>
  <si>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</si>
  <si>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</si>
  <si>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4Н120</t>
  </si>
  <si>
    <t>Мероприятия по подготовке образовательных учреждений к осенне-зимнему периоду</t>
  </si>
  <si>
    <t>майкор</t>
  </si>
  <si>
    <t>Пожва 1</t>
  </si>
  <si>
    <t>Юсьва</t>
  </si>
  <si>
    <t>Крохалево</t>
  </si>
  <si>
    <t>02 6 10 4Н140</t>
  </si>
  <si>
    <t>Обеспечение антитеррористической защищенности объектов образовательных учреждений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</si>
  <si>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</si>
  <si>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Капитальный ремонт, ремонт объектов общеобразовательных организаций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</si>
  <si>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</si>
  <si>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</si>
  <si>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</si>
  <si>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</si>
  <si>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</si>
  <si>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</si>
  <si>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</si>
  <si>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</si>
  <si>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</si>
  <si>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</si>
  <si>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</si>
  <si>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</si>
  <si>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</si>
  <si>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</si>
  <si>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</si>
  <si>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</si>
  <si>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</si>
  <si>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</si>
  <si>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</si>
  <si>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</si>
  <si>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</si>
  <si>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Организация и проведение общественно-значимых мероприятий с участием инвалидов и участие в окружных и краевых мероприятиях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</si>
  <si>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</si>
  <si>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</si>
  <si>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</si>
  <si>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</si>
  <si>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</si>
  <si>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</si>
  <si>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</si>
  <si>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</si>
  <si>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Организация и проведение мероприятий по вовлечению граждан в добровольческую (волонтерскую) деятельность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</si>
  <si>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</si>
  <si>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</si>
  <si>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</si>
  <si>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</si>
  <si>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</si>
  <si>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Обеспечение жильем молодых семей</t>
  </si>
  <si>
    <t>в том числе за счет краевого бюджета</t>
  </si>
  <si>
    <t>04 0 10 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</si>
  <si>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</si>
  <si>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</si>
  <si>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</si>
  <si>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</si>
  <si>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</si>
  <si>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</si>
  <si>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</si>
  <si>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</si>
  <si>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</si>
  <si>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</si>
  <si>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</si>
  <si>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</si>
  <si>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</si>
  <si>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</si>
  <si>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04 0 60 00000</t>
  </si>
  <si>
    <t>04 0 60 4С210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</si>
  <si>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</si>
  <si>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</si>
  <si>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</si>
  <si>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Основное мероприятие "Оценка недвижимости, признание прав и регулирование отношений по  муниципальной собственности"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</si>
  <si>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</si>
  <si>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</si>
  <si>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</si>
  <si>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</si>
  <si>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</si>
  <si>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</si>
  <si>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Формирование и содержание жилых помещений маневренного фонда Юсьвинского муниципального округа Пермского края</t>
  </si>
  <si>
    <t>05 0 10 4И070</t>
  </si>
  <si>
    <t>Снос расселенных жилых домов и нежилых зданий (сооружений), расположенных на территории муниципальных образований Пермского края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</si>
  <si>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</si>
  <si>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</si>
  <si>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</si>
  <si>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</si>
  <si>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</si>
  <si>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</si>
  <si>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</si>
  <si>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</si>
  <si>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</si>
  <si>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</si>
  <si>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</si>
  <si>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</si>
  <si>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</si>
  <si>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</si>
  <si>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</si>
  <si>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</si>
  <si>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</si>
  <si>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</si>
  <si>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</si>
  <si>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</si>
  <si>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</si>
  <si>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</si>
  <si>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</si>
  <si>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</si>
  <si>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</si>
  <si>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</si>
  <si>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</si>
  <si>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</si>
  <si>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</si>
  <si>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</si>
  <si>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70 SР040</t>
  </si>
  <si>
    <t>Подготовка учреждений культуры к зимнему отопительному сезону в рамках 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</si>
  <si>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06 1 70 SК160</t>
  </si>
  <si>
    <t>Обеспечение музыкальными инструментами, оборудованием и материалами образовательных учреждений в сфере культуры</t>
  </si>
  <si>
    <t>06 1 70 L4670</t>
  </si>
  <si>
    <t>Развитие и 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</si>
  <si>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>в том числе</t>
  </si>
  <si>
    <t>Укрепление материально-технической базы домов культур (и их филиалов), расположенных в населенных пунктах с численностью жителей до 50 тысяч человек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</si>
  <si>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</si>
  <si>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70 4К090</t>
  </si>
  <si>
    <t>Приведение в нормативное состояние учреждений культуры  и образовательных учреждений в сфере культуры</t>
  </si>
  <si>
    <t>06 1 А2 00000</t>
  </si>
  <si>
    <t>Основное мероприятие "Реализация федерального проекта "Творческие люди"</t>
  </si>
  <si>
    <t>06 1 А2 55190</t>
  </si>
  <si>
    <t>Государственная поддержка отрасли культуры</t>
  </si>
  <si>
    <t>в том числе государственная поддержка лучших работников сельских учреждений  культуры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</si>
  <si>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</si>
  <si>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</si>
  <si>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</si>
  <si>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</si>
  <si>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</si>
  <si>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</si>
  <si>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</si>
  <si>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</si>
  <si>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</si>
  <si>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</si>
  <si>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</si>
  <si>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</si>
  <si>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</si>
  <si>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</si>
  <si>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</si>
  <si>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</si>
  <si>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</si>
  <si>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</si>
  <si>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</si>
  <si>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</si>
  <si>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</si>
  <si>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</si>
  <si>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</si>
  <si>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</si>
  <si>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>Разработка проектно-сметной докемунтации на 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</si>
  <si>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</si>
  <si>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</si>
  <si>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</si>
  <si>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</si>
  <si>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</si>
  <si>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</si>
  <si>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4П010</t>
  </si>
  <si>
    <t>Изготовление и распространение наглядной печатной продукции, аудиовизовой продукции, наружной рекламы, направленных на профилактику распространения терроризма и экстремизма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</si>
  <si>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</si>
  <si>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</si>
  <si>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</si>
  <si>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</si>
  <si>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4П071</t>
  </si>
  <si>
    <t>Установка системы оповещения о возникших террористических проявлениях в месте массового пребывания людей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</si>
  <si>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</si>
  <si>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</si>
  <si>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</si>
  <si>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</si>
  <si>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</si>
  <si>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</si>
  <si>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</si>
  <si>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</si>
  <si>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Приобретение торговых прилавков для продажи сельскохозяйственной продукции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</si>
  <si>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</si>
  <si>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</si>
  <si>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</si>
  <si>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</si>
  <si>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</si>
  <si>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</si>
  <si>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</si>
  <si>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</si>
  <si>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</si>
  <si>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</si>
  <si>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</si>
  <si>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Реализация мероприятий, направленных на комплексное развитие сельских территорий</t>
  </si>
  <si>
    <t>10 1 10 L5761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</si>
  <si>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</si>
  <si>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</si>
  <si>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</si>
  <si>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10 1 20 00000</t>
  </si>
  <si>
    <t>Основное мероприятие «Комплексное развитие сельской агломерации «Юсьвинский муниципальный округ Пермского края»</t>
  </si>
  <si>
    <t>10 1 20 L5760</t>
  </si>
  <si>
    <t>Строительство очистных сооружений в с. Юсьва Пермского края</t>
  </si>
  <si>
    <t>внебюджетные источники</t>
  </si>
  <si>
    <t>Развитие водоснабжения (строительство и реконструкция в сельской местности локальных водопроводов). Локальный водопровод в п. Майкор. 1 этап. 2 этап. 3 этап.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</si>
  <si>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</si>
  <si>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</si>
  <si>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</si>
  <si>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</si>
  <si>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10 2 10 00000</t>
  </si>
  <si>
    <t>Основное мероприятие "Развитие территориального общественного самоуправления (ТОС) на  территории Юсьвинского муниципального округа"</t>
  </si>
  <si>
    <t>10 2 10 4М010</t>
  </si>
  <si>
    <t>Расходы на развитие ТОС  на территории Юсьвинского муниципального округа Пермского края (софинансирование, муниципальный конкурс)</t>
  </si>
  <si>
    <t>за счет средств ТОС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</si>
  <si>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</si>
  <si>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</si>
  <si>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</si>
  <si>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</si>
  <si>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</si>
  <si>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</si>
  <si>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 xml:space="preserve">10 2 20 4М093 </t>
  </si>
  <si>
    <t>10 2 30 00000</t>
  </si>
  <si>
    <t>Основное мероприятие "Мероприятия по охране окружающей среды"</t>
  </si>
  <si>
    <t xml:space="preserve">10 2 30 4М035 </t>
  </si>
  <si>
    <t>Комплекс мероприятий по закрытию и ликвидации свалок ТКО</t>
  </si>
  <si>
    <t xml:space="preserve">10 2 30 SЭ240 </t>
  </si>
  <si>
    <t>Мероприятия на 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</si>
  <si>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</si>
  <si>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</si>
  <si>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</si>
  <si>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</si>
  <si>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</si>
  <si>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</si>
  <si>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30 4М039</t>
  </si>
  <si>
    <t>Оборудование площадки с водонепроницаемым покрытием для складирования снега</t>
  </si>
  <si>
    <t>Приобретение контейнеров для сбора (складирования) твердых коммунальных отходов на контейнерных площадках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</si>
  <si>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</si>
  <si>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</si>
  <si>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</si>
  <si>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</si>
  <si>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</si>
  <si>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</si>
  <si>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</si>
  <si>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10 3 10 SP040</t>
  </si>
  <si>
    <t xml:space="preserve">Ремонт объектов коммунальной общественной инфраструктуры муниципального значения </t>
  </si>
  <si>
    <t>10 3 10 SЖ830</t>
  </si>
  <si>
    <t>Проведение технического аудита состояния очистных сооружений и сетей водоотведения</t>
  </si>
  <si>
    <t>10 3 10 SЖ840</t>
  </si>
  <si>
    <t>Разработка и подготовка проектно-сметной документации по строительству и реконструкции (модернизации) очистных сооружений</t>
  </si>
  <si>
    <t>10 3 10 4М073</t>
  </si>
  <si>
    <t>Устранение аварий на коммунальных системах Юсьвинского муниципального округа Пермского края</t>
  </si>
  <si>
    <t>10 3 10 SP183</t>
  </si>
  <si>
    <t>Обустройство колодцев, скважин, водонапорных башен, родников, ключей, других источников водоснабжения и объектов системы водоснабжения, а также их зон санитарной охраны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</si>
  <si>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</si>
  <si>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</si>
  <si>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</si>
  <si>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</si>
  <si>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</si>
  <si>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10 3 30 4М081</t>
  </si>
  <si>
    <t>Техническое перевооружение объектов системы теплоснабжения</t>
  </si>
  <si>
    <t>10 3 30 SЖ331</t>
  </si>
  <si>
    <t>Распределительные газопроводы в п. Майкор Юсьвинского района Пермского края. 1 очередь 1 этап.Строительство распределительных газопроводов в п. Майкор Юсьвинского района Пермского края. 1 очередь. 2 этап</t>
  </si>
  <si>
    <t>10 3 30 SЖ330</t>
  </si>
  <si>
    <t>Проведение проектных работ по строительству распределительных газопроводов на территории Юсьвинского муниципального округа Пермского края</t>
  </si>
  <si>
    <t>10 3 30 SЖ520</t>
  </si>
  <si>
    <t>Улучшение качества систем теплоснабжения на территории Юсьвинского муниципального округа Пермского края</t>
  </si>
  <si>
    <t>Проектирование блочно-модульных газовых котельных</t>
  </si>
  <si>
    <t xml:space="preserve">Проведение государственной экспертизы проектной документации </t>
  </si>
  <si>
    <t>Строительство блочно-модульных газовых котельных</t>
  </si>
  <si>
    <t>10 3 40 00000</t>
  </si>
  <si>
    <t>Основное мероприятие "Обеспечение технического развития систем теплоснабжения Юсьвинского муниципального округа Пермского края"</t>
  </si>
  <si>
    <t>10 3 50 00000</t>
  </si>
  <si>
    <t>Основное мероприятие "Прочие мероприятия в области жилищно-коммунального хозяйства"</t>
  </si>
  <si>
    <t>10 3 50 00150</t>
  </si>
  <si>
    <t>Расходы на содержание  муниципального бюджетного учреждения «Юсьвинское ЖКХ»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</si>
  <si>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</si>
  <si>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</si>
  <si>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</si>
  <si>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</si>
  <si>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</si>
  <si>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</si>
  <si>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</si>
  <si>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Паспортизация муниципальных дорог общего пользования</t>
  </si>
  <si>
    <t xml:space="preserve"> Основное мероприятие "Проектно-изыскательские работы"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</si>
  <si>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</si>
  <si>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</si>
  <si>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</si>
  <si>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</si>
  <si>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Ремонт автомобильных дорог</t>
  </si>
  <si>
    <t>11 1 40 4Д030</t>
  </si>
  <si>
    <t>11 1 40 4Д080</t>
  </si>
  <si>
    <t>Выполнение работ по строительному контролю объекта "Ремонт участка автомобильной дороги "Подъезд к с. Юсьва""</t>
  </si>
  <si>
    <t xml:space="preserve">11 1 50 00000 </t>
  </si>
  <si>
    <t>Основное мероприятие "Содержание муниципальных дорог"</t>
  </si>
  <si>
    <t>11 1 50 4Д040</t>
  </si>
  <si>
    <t>Содержание муниципальных дорог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</si>
  <si>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</si>
  <si>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</si>
  <si>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</si>
  <si>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</si>
  <si>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</si>
  <si>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</si>
  <si>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</si>
  <si>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</si>
  <si>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</si>
  <si>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Основное мероприятие "Ликвидация очагов аварийности на улично-дорожной сети и участках автомобильных дорог муниципального значения"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</si>
  <si>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</si>
  <si>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</si>
  <si>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</si>
  <si>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</si>
  <si>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</si>
  <si>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</si>
  <si>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</si>
  <si>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</si>
  <si>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</si>
  <si>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</si>
  <si>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</si>
  <si>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</si>
  <si>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</si>
  <si>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</si>
  <si>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</si>
  <si>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</si>
  <si>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 xml:space="preserve"> Мероприятия по обеспечению первичными  мерами пожарной безопасности</t>
  </si>
  <si>
    <t>13 0 20 4Ч040</t>
  </si>
  <si>
    <t xml:space="preserve"> Мероприятия по противопожарному водоснабжению Юсьвинского муниципального округа Пермского края</t>
  </si>
  <si>
    <t>13 0 20 4Ч050</t>
  </si>
  <si>
    <t>Мероприятия по предупреждению пожаров в жилых помещениях, находящихся в муниципальной собственности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</si>
  <si>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</si>
  <si>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</si>
  <si>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</si>
  <si>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Приобретение специализированной техники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</si>
  <si>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</si>
  <si>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</si>
  <si>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</si>
  <si>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</si>
  <si>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</si>
  <si>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</si>
  <si>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</si>
  <si>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</si>
  <si>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</si>
  <si>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</si>
  <si>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</si>
  <si>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</si>
  <si>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</si>
  <si>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</si>
  <si>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</si>
  <si>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>15 0 10 L5110</t>
  </si>
  <si>
    <t>Проведение комплексных кадастровых работ</t>
  </si>
  <si>
    <t>за счет средств федерального бюджета</t>
  </si>
  <si>
    <t xml:space="preserve"> за счет местного бюджета</t>
  </si>
  <si>
    <t>15 0 10 SЦ140</t>
  </si>
  <si>
    <t>15 0 10 4Г040</t>
  </si>
  <si>
    <t>Проведение работ по инвентаризации земель и регистрации прав собственности МО «Юсьвинский муниципальный округ» на земельные участки, занятые объектами недвижимости, находящимися в муниципальной собственности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</si>
  <si>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</si>
  <si>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</si>
  <si>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</si>
  <si>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</si>
  <si>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</si>
  <si>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Основное мероприятие "Подготовительные работы для реализации  мероприятий по созданию комфортной городской среды"</t>
  </si>
  <si>
    <t>Разработка проектно-сметной документации, дизайн-проектов</t>
  </si>
  <si>
    <t>Основное мероприятие "Реализация федерального проекта «Формирование комфортной городской среды"</t>
  </si>
  <si>
    <t>Благоустройство общественных и дворовых территорий Юсьвинского муниципального округа Пермского края</t>
  </si>
  <si>
    <t>Основное мероприятие "Реализация регионального проекта «Формирование современной городской среды"</t>
  </si>
  <si>
    <t>Реализация мероприятий по формированию современной городской среды (расходы, не софинансируемые из федерального бюджета)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</si>
  <si>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</si>
  <si>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</si>
  <si>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</si>
  <si>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</si>
  <si>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</si>
  <si>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</si>
  <si>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</si>
  <si>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</si>
  <si>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Расходы на обеспечение деятельности Аппарата  Думы Юсьвинского муниципального округа Пермского края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</si>
  <si>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</si>
  <si>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</si>
  <si>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</si>
  <si>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</si>
  <si>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</si>
  <si>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</si>
  <si>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</si>
  <si>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Расходы на обеспечение деятельности  муниципального казенного учреждения «Единый учетный центр»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</si>
  <si>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</si>
  <si>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</si>
  <si>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</si>
  <si>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</si>
  <si>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</si>
  <si>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</si>
  <si>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</si>
  <si>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</si>
  <si>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</si>
  <si>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92 0 00 00230</t>
  </si>
  <si>
    <t>Исполнение решений судов, вступивших в законную силу, и оплата государственной пошлины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</si>
  <si>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</si>
  <si>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</si>
  <si>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</si>
  <si>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</si>
  <si>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</si>
  <si>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</si>
  <si>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</si>
  <si>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</si>
  <si>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</si>
  <si>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</si>
  <si>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</si>
  <si>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</si>
  <si>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92 0 00 00396</t>
  </si>
  <si>
    <t>Государственная экспертиза проектной документации и результатов инженерных изысканий по объекту "Строительство школьного образовательного учреждения на 60 мест в с.Доег Юсьвинского муниципального округа"</t>
  </si>
  <si>
    <t>92 0 00 00397</t>
  </si>
  <si>
    <t>Корректировка проектной документации и результатов инженерных изысканий по привязке типового проекта к объекту "Строительство школьного образовательного учреждения на 60 мест в с.Доег Юсьвинского муниципального округа"</t>
  </si>
  <si>
    <t>92 0 00 00398</t>
  </si>
  <si>
    <t>Подготовка рабочей документации по объекту "Строительство школьного образовательного учреждения на 60 мест в с.Доег Юсьвинского муниципального округа"</t>
  </si>
  <si>
    <t>92 0 00 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</si>
  <si>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</si>
  <si>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92 0 00 2P110</t>
  </si>
  <si>
    <t>Призовые выплаты главам муниципальных образований (победителей конкурса)</t>
  </si>
  <si>
    <t>Расходы на выплаты персоналу  в целях обеспечения выполнения  функций государственными (муниципальными)органами, казенными учреждениями</t>
  </si>
  <si>
    <t>92 0 00 SР180</t>
  </si>
  <si>
    <t>Реализация программ развития преобразованных муниципальных образований</t>
  </si>
  <si>
    <t>92 0 00 2А180</t>
  </si>
  <si>
    <t>Реализация мероприятий по созданию условий осуществления медицинской деятельности в модульных зданиях ФАП</t>
  </si>
  <si>
    <t>92 0 00 00180</t>
  </si>
  <si>
    <t>Составление ЛСР на выполнение работ по благоустройству и присоединению модульных ФАП к инженерным сетям</t>
  </si>
  <si>
    <t>Итого расходов:</t>
  </si>
  <si>
    <t>01 1 10 4У012</t>
  </si>
  <si>
    <t>01 1 20 4У021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</si>
  <si>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</si>
  <si>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</si>
  <si>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2Н420</t>
  </si>
  <si>
    <t>02 2 30 4Н200</t>
  </si>
  <si>
    <t>Проектирование объекта "Строительство интерната Майкорской ОШИ Юсьвинского муниципального округа"</t>
  </si>
  <si>
    <t>02 2 30 SН071</t>
  </si>
  <si>
    <t>Предоставление дополнительного образования детей неспортивной направленности</t>
  </si>
  <si>
    <t>02 3 10 4Н068</t>
  </si>
  <si>
    <t>02 6 10 4Н151</t>
  </si>
  <si>
    <t>03 4 00 00000</t>
  </si>
  <si>
    <t>03 4 10 00000</t>
  </si>
  <si>
    <t>Проведение мероприятий по содержанию имущества муниципальной казны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</si>
  <si>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</si>
  <si>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</si>
  <si>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</si>
  <si>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</si>
  <si>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Мероприятия, обеспечивающие кадровую политику в сфере культуры 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</si>
  <si>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</si>
  <si>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</si>
  <si>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07 0 40 00000</t>
  </si>
  <si>
    <t>Основное мероприятие "Строительство (реконструкция) объектов спортивной инфраструктуры муниципального значения"</t>
  </si>
  <si>
    <t>07 0 40 4Ф230</t>
  </si>
  <si>
    <t>Разработка проектно-сметной документации на реконструкцию объектаспортивной инфраструктуры</t>
  </si>
  <si>
    <t>07 0 30 SФ350</t>
  </si>
  <si>
    <t>07 0 30 4Ф350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</si>
  <si>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</si>
  <si>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</si>
  <si>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</si>
  <si>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</si>
  <si>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</si>
  <si>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</si>
  <si>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09 1 40 00000</t>
  </si>
  <si>
    <t>Основное мероприятие "Организация мероприятий для обеспечения жителей Юсьвинского муниципального округа Пермского края услугами торговли, общественного питания, бытового обслуживания и сельскохозяйственной продукцией"</t>
  </si>
  <si>
    <t>09 1 40 4Э060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</si>
  <si>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</si>
  <si>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</si>
  <si>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</si>
  <si>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</si>
  <si>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</si>
  <si>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</si>
  <si>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</si>
  <si>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</si>
  <si>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</si>
  <si>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10 1 20 L5766</t>
  </si>
  <si>
    <t>10 1 20 L5767</t>
  </si>
  <si>
    <t>Обустройство тротуаров в населенных пунктах Юсьвинского муниципального округа Пермского края</t>
  </si>
  <si>
    <t>10 2 30 4М041</t>
  </si>
  <si>
    <t>10 2 40 SУ200</t>
  </si>
  <si>
    <t>Реализация мероприятий по предотвращению распространения и уничтожению борщевика Сосновского в Юсьвинском муниципальном округе Пермского края</t>
  </si>
  <si>
    <t>10 3 10 4М075</t>
  </si>
  <si>
    <t>10 3 30 4М082</t>
  </si>
  <si>
    <t>10 3 30 4М083</t>
  </si>
  <si>
    <t>10 3 30 4М084</t>
  </si>
  <si>
    <t>10 3 40 4М085</t>
  </si>
  <si>
    <t>11 1 40 4Д031</t>
  </si>
  <si>
    <t>Восстановление мостов и труб</t>
  </si>
  <si>
    <t>11 1 20 00000</t>
  </si>
  <si>
    <t>11 1 20 4Д020</t>
  </si>
  <si>
    <t>Замена  и установка  барьерных ограждений, автобусных остановок, недостающих дорожных знаков, информационных щитов, светофоров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</si>
  <si>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</si>
  <si>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</si>
  <si>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</si>
  <si>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</si>
  <si>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</si>
  <si>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</si>
  <si>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</si>
  <si>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</si>
  <si>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</si>
  <si>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</si>
  <si>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</si>
  <si>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Предоставление социальных выплат на строительство (приобретение) жилья гражданам, проживающим в сельской местности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</si>
  <si>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</si>
  <si>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Ремонт автомобильных дорог (несофинансируемые из краевого бюджета)</t>
  </si>
  <si>
    <t>Ведомство</t>
  </si>
  <si>
    <t>Раздел, подраздел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</si>
  <si>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</si>
  <si>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</si>
  <si>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</si>
  <si>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</si>
  <si>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</si>
  <si>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</si>
  <si>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</si>
  <si>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</si>
  <si>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</si>
  <si>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0105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</si>
  <si>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</si>
  <si>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</si>
  <si>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</si>
  <si>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0113</t>
  </si>
  <si>
    <t>Другие общегосударственные расходы</t>
  </si>
  <si>
    <t>0200</t>
  </si>
  <si>
    <t>Национальная оборона</t>
  </si>
  <si>
    <t>0203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</si>
  <si>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</si>
  <si>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</si>
  <si>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</si>
  <si>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</si>
  <si>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</si>
  <si>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</si>
  <si>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</si>
  <si>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</si>
  <si>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</si>
  <si>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</si>
  <si>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</si>
  <si>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</si>
  <si>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</si>
  <si>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</si>
  <si>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</si>
  <si>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</si>
  <si>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</si>
  <si>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</si>
  <si>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</si>
  <si>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</si>
  <si>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</si>
  <si>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</si>
  <si>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</si>
  <si>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</si>
  <si>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</si>
  <si>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</si>
  <si>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</si>
  <si>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Основное мероприятие "Оценка недвижимости, признание прав и регулирование отношений по муниципальной собственности"</t>
  </si>
  <si>
    <t>0502</t>
  </si>
  <si>
    <t>Коммунальное хозяйство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</si>
  <si>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</si>
  <si>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0503</t>
  </si>
  <si>
    <t>Благоустройство</t>
  </si>
  <si>
    <t>0505</t>
  </si>
  <si>
    <t>Другие расходы в области жилищно-коммунального хозяйства</t>
  </si>
  <si>
    <t>0700</t>
  </si>
  <si>
    <t>Образование</t>
  </si>
  <si>
    <t>0702</t>
  </si>
  <si>
    <t>Общее образование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</si>
  <si>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</si>
  <si>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</si>
  <si>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</si>
  <si>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</si>
  <si>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</si>
  <si>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</si>
  <si>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</si>
  <si>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</si>
  <si>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</si>
  <si>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</si>
  <si>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</si>
  <si>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</si>
  <si>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</si>
  <si>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</si>
  <si>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</si>
  <si>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</si>
  <si>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</si>
  <si>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</si>
  <si>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00 0  00 00000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</si>
  <si>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</si>
  <si>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</si>
  <si>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</si>
  <si>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</si>
  <si>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Развитие и укрепление 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</si>
  <si>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</si>
  <si>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</si>
  <si>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</si>
  <si>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</si>
  <si>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</si>
  <si>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</si>
  <si>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</si>
  <si>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</si>
  <si>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</si>
  <si>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</si>
  <si>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</si>
  <si>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</si>
  <si>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</si>
  <si>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</si>
  <si>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</si>
  <si>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</si>
  <si>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</si>
  <si>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</si>
  <si>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2023-2025 годы</t>
  </si>
  <si>
    <t>Приложение 1</t>
  </si>
  <si>
    <t>Приложение 2</t>
  </si>
  <si>
    <t>к решению Думы Юсьвинского</t>
  </si>
  <si>
    <t>Приложение 4</t>
  </si>
  <si>
    <t>Перечень объектов капитального строительства на 2023 год и на плановый период 2024-2025 годов</t>
  </si>
  <si>
    <t>№ п/п</t>
  </si>
  <si>
    <t>Наименование объекта</t>
  </si>
  <si>
    <t>Сумма (тыс.руб.)</t>
  </si>
  <si>
    <t>средства краевого бюджета</t>
  </si>
  <si>
    <t>средства местного бюджета</t>
  </si>
  <si>
    <t>Строительство и реконструкция в сельской местности локальных водопроводов. (Локальный водопровод в п.Майкор»1 этап, 2 этап, 3 этап)</t>
  </si>
  <si>
    <t>Итого</t>
  </si>
  <si>
    <t>Сумма (тыс. руб.)</t>
  </si>
  <si>
    <t>Приложение 5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</si>
  <si>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</si>
  <si>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</si>
  <si>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</si>
  <si>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</si>
  <si>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</si>
  <si>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</si>
  <si>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</si>
  <si>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"Паспортизация муниципальных дорог общего пользования"</t>
  </si>
  <si>
    <t>1.1.2.</t>
  </si>
  <si>
    <t xml:space="preserve">Основное мероприятие "Проектно-изыскательские работы" 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</si>
  <si>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</si>
  <si>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1.1.3.</t>
  </si>
  <si>
    <t>Основное мероприятие. «Ремонт муниципальных дорог и искусственных дорожных сооружений»</t>
  </si>
  <si>
    <t>Мероприятие "Ремонт автомобильных дорог"</t>
  </si>
  <si>
    <t>Ремонт муниципальных автомобильных дорог между населенными пунктами</t>
  </si>
  <si>
    <t>Ремонт участка автомобильной дороги «Подъезд к с. Юсьва» км 000+007 – км 001+094</t>
  </si>
  <si>
    <t>Ремонт участка автомобильной дороги «Пожва-Усть-Пожва» км 000+000 – км 001+000</t>
  </si>
  <si>
    <t>Ремонт автомобильной дороги «Асаново-Белюково-Пахомово»</t>
  </si>
  <si>
    <t>Ремонт подъезда к кладбищу с. Они</t>
  </si>
  <si>
    <t xml:space="preserve">Укрепление обочины по ул. Советская с.Юсьва (МБОУ Юсьвинская средняя общеобразовательная школа имени народной артистки РФ А. Г. Котельниковой) </t>
  </si>
  <si>
    <t>Мероприятие "Восстановление труб и мостов"</t>
  </si>
  <si>
    <t>Ремонт моста через р. Октасшор на автомобильной дороге «Доег-Пет-Бор»</t>
  </si>
  <si>
    <t>Ремонт моста в д. Нижняя Волпа</t>
  </si>
  <si>
    <t>Ремонт моста в д. Ивучево</t>
  </si>
  <si>
    <t>Ремонт моста через р. Ык на автомобильной "Габово-Купрос"</t>
  </si>
  <si>
    <t>Ремонт моста на автомобильной дороге «Сивашер-Обирино»</t>
  </si>
  <si>
    <t>Ремонт моста в по ул. Паньковская с. Юсьва</t>
  </si>
  <si>
    <t>1.1.4.</t>
  </si>
  <si>
    <t>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</si>
  <si>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</si>
  <si>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</si>
  <si>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</si>
  <si>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Основное мероприятие "Развитие системы организации движения и повышение безопасности дорожного движения на автомобильных дорогах"</t>
  </si>
  <si>
    <t>Мероприятие. Замена и установка барьерных ограждений, автобусных остановок, недостающих дорожных знаков, информационных щитов, светофоров</t>
  </si>
  <si>
    <t>Устройство барьерных ограждений на автомобильных дорогах «Подъезд к пристани Пожва», «Пожва-Е.Пожва»</t>
  </si>
  <si>
    <t>Устройство искусственной дорожной неровности по ул. Красноармейская с.Юсьва (МБ ДО ДЮСШ «СПАРТ»)</t>
  </si>
  <si>
    <t>муниципального округа Пермского края</t>
  </si>
  <si>
    <t>Приложение 6</t>
  </si>
  <si>
    <t>(тыс.руб.)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</si>
  <si>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</si>
  <si>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</si>
  <si>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</si>
  <si>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</si>
  <si>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</si>
  <si>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</si>
  <si>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</si>
  <si>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</si>
  <si>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</si>
  <si>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</si>
  <si>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</si>
  <si>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</si>
  <si>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</si>
  <si>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</si>
  <si>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</si>
  <si>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</si>
  <si>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</si>
  <si>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</si>
  <si>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</si>
  <si>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</si>
  <si>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</si>
  <si>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</si>
  <si>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</si>
  <si>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>от ___.___.2022 № ___</t>
  </si>
  <si>
    <t xml:space="preserve"> Программа</t>
  </si>
  <si>
    <t>Внутренние заимствования</t>
  </si>
  <si>
    <t>Соглашения и договоры о получении Юсьвинским муниципальным округом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</si>
  <si>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</si>
  <si>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задолженности, всего</t>
  </si>
  <si>
    <t>в том числе:</t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</si>
  <si>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под завоз продукции (товаров) в районы Крайнего Севера и приравненные к ним местности</t>
    </r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</si>
  <si>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предприятий и организаций АПК, выданным в 1992-1994 годах</t>
    </r>
  </si>
  <si>
    <t>ПРОГРАММА</t>
  </si>
  <si>
    <t xml:space="preserve"> 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</si>
  <si>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</si>
  <si>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</si>
  <si>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</si>
  <si>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</si>
  <si>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Приложение 7</t>
  </si>
  <si>
    <t>СПРАВОЧНО</t>
  </si>
  <si>
    <t>Структура муниципального</t>
  </si>
  <si>
    <t>Наименование обязательств</t>
  </si>
  <si>
    <t>на 01.01.2024</t>
  </si>
  <si>
    <t>на 01.01.2025</t>
  </si>
  <si>
    <t>на 01.01.2026</t>
  </si>
  <si>
    <t>Кредитные соглашения и договоры</t>
  </si>
  <si>
    <t>Муниципальные гарантии</t>
  </si>
  <si>
    <t>ИТОГО</t>
  </si>
  <si>
    <t xml:space="preserve">к решению Думы Юсьвинского </t>
  </si>
  <si>
    <t xml:space="preserve">Ожидаемое исполнение консолидированного бюджета Юсьвинского муниципального округа Пермского края за 2022 год по доходам 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</si>
  <si>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</si>
  <si>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</si>
  <si>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Уточненный план на 2022 год</t>
  </si>
  <si>
    <t>Ожидаемое исполнение в 2022 году</t>
  </si>
  <si>
    <t>% исполнения</t>
  </si>
  <si>
    <t>Примечание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</si>
  <si>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</si>
  <si>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</si>
  <si>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</si>
  <si>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</si>
  <si>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</si>
  <si>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</si>
  <si>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</si>
  <si>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</si>
  <si>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</si>
  <si>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</si>
  <si>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</si>
  <si>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</si>
  <si>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</si>
  <si>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</si>
  <si>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</si>
  <si>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</si>
  <si>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</si>
  <si>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</si>
  <si>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</si>
  <si>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</si>
  <si>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</si>
  <si>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</si>
  <si>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</si>
  <si>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</si>
  <si>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</si>
  <si>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</si>
  <si>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</si>
  <si>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</si>
  <si>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</si>
  <si>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</si>
  <si>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</si>
  <si>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</si>
  <si>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</si>
  <si>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</si>
  <si>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</si>
  <si>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</si>
  <si>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</si>
  <si>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</si>
  <si>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</si>
  <si>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</si>
  <si>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</si>
  <si>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</si>
  <si>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</si>
  <si>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</si>
  <si>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</si>
  <si>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</si>
  <si>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</si>
  <si>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</si>
  <si>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</si>
  <si>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</si>
  <si>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</si>
  <si>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</si>
  <si>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</si>
  <si>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</si>
  <si>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</si>
  <si>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</si>
  <si>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</si>
  <si>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</si>
  <si>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</si>
  <si>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</si>
  <si>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</si>
  <si>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</si>
  <si>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</si>
  <si>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</si>
  <si>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</si>
  <si>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</si>
  <si>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</si>
  <si>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</si>
  <si>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1 08 07 000 01 0000 110 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</si>
  <si>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</si>
  <si>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1 08 07 179 01 0000 110 </t>
  </si>
  <si>
    <t>Государственная пошлина за выдачу органом местного самоуправления муниципального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</si>
  <si>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</si>
  <si>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</si>
  <si>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</si>
  <si>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</si>
  <si>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</si>
  <si>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</si>
  <si>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</si>
  <si>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</si>
  <si>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</si>
  <si>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</si>
  <si>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</si>
  <si>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</si>
  <si>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</si>
  <si>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</si>
  <si>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</si>
  <si>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</si>
  <si>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</si>
  <si>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</si>
  <si>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</si>
  <si>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</si>
  <si>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</si>
  <si>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</si>
  <si>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</si>
  <si>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</si>
  <si>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</si>
  <si>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</si>
  <si>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</si>
  <si>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</si>
  <si>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</si>
  <si>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</si>
  <si>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</si>
  <si>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</si>
  <si>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</si>
  <si>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</si>
  <si>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</si>
  <si>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</si>
  <si>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</si>
  <si>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</si>
  <si>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</si>
  <si>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</si>
  <si>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</si>
  <si>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</si>
  <si>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</si>
  <si>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</si>
  <si>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</si>
  <si>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</si>
  <si>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</si>
  <si>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</si>
  <si>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</si>
  <si>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</si>
  <si>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</si>
  <si>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</si>
  <si>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</si>
  <si>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</si>
  <si>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 xml:space="preserve"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</si>
  <si>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﻿1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</si>
  <si>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</si>
  <si>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</si>
  <si>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</si>
  <si>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</si>
  <si>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</si>
  <si>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﻿1 16 01103 01 0000 140
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</si>
  <si>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</si>
  <si>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﻿1 16 01143 01 0000 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</si>
  <si>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</si>
  <si>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</si>
  <si>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</si>
  <si>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</si>
  <si>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</si>
  <si>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</si>
  <si>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</si>
  <si>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</si>
  <si>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</si>
  <si>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</si>
  <si>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</si>
  <si>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</si>
  <si>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</si>
  <si>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</si>
  <si>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</si>
  <si>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</si>
  <si>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</si>
  <si>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</si>
  <si>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</si>
  <si>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</si>
  <si>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</si>
  <si>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</si>
  <si>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</si>
  <si>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</si>
  <si>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</si>
  <si>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117 00000 00 0000 000</t>
  </si>
  <si>
    <t>ПРОЧИЕ НЕНАЛОГОВЫЕ ДОХОДЫ</t>
  </si>
  <si>
    <t>117 01040 14 0000 180</t>
  </si>
  <si>
    <t>Невыясненные поступления,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</si>
  <si>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</si>
  <si>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</si>
  <si>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</si>
  <si>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</si>
  <si>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</si>
  <si>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</si>
  <si>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</si>
  <si>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</si>
  <si>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</si>
  <si>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</si>
  <si>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</si>
  <si>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</si>
  <si>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</si>
  <si>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2 02 25 228 14 0000 150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</si>
  <si>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</si>
  <si>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</si>
  <si>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</si>
  <si>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</si>
  <si>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</si>
  <si>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</si>
  <si>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</si>
  <si>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</si>
  <si>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</si>
  <si>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</si>
  <si>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Субсидии на государственную поддержку лучших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</si>
  <si>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</si>
  <si>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</si>
  <si>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</si>
  <si>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</si>
  <si>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</si>
  <si>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</si>
  <si>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</si>
  <si>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</si>
  <si>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</si>
  <si>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</si>
  <si>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</si>
  <si>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</si>
  <si>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</si>
  <si>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обеспечение работников учреждений бюджетной сферы Пермского края путевками на санаторно-курортное лечение и оздоровление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</si>
  <si>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</si>
  <si>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>Субсидии бюджетам муниципальных образований на реализацию программ развития преобразованных муниципальных образований</t>
  </si>
  <si>
    <t>Субсидии бюджетам муниципальныз образований на приведение в нормативное состояние муниципальных помещений, приобретение и установку модульных конструкций, используемых в целях профилактики правонарушений и обеспечения общественной безопасности</t>
  </si>
  <si>
    <t>Субсидии бюджетам муниципальных образований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</si>
  <si>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</si>
  <si>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их оснащение</t>
  </si>
  <si>
    <t>Субсидии на разработку проектов межевания территории и проведение комплексных кадастровых работ</t>
  </si>
  <si>
    <t>Субсидии на оснащение объектов спортивной инфраструктуры спортивно-технологическим оборудованием</t>
  </si>
  <si>
    <t>Субсидии бюджетам муниципальных образований на разработку и подготовку проектно-сметной документации по строительству и реконструкции (модернизации) очистных сооружений</t>
  </si>
  <si>
    <t>Субсидии бюджетам муниципальных образований на проведение технического аудита состояния очистных сооружений и сетей водоотведения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</si>
  <si>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</si>
  <si>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Субсидии на обеспечение музыкальными инструментами, оборудованием и материалами образовательных учреждений в сфере культуры</t>
  </si>
  <si>
    <t>Субсидии на реализацию мероприятий проекта «Мы выбираем спорт»</t>
  </si>
  <si>
    <t>Субсидии на проведение мероприятия "Пермский край - территория культуры"</t>
  </si>
  <si>
    <t>Субсидии бюджетам муниципальных образований на проведение проектных работ и строительство распределительных газопроводов</t>
  </si>
  <si>
    <t>Субсидии на приобретение контейнеров для сбора (складирования) твердых коммунальных отходов на контейнерных площадках, расположенных на территории Пермского края</t>
  </si>
  <si>
    <t>Субсидии на реализацию по предотвращению распространения и уничтожению борщевика Сосновского в муниципальных образованиях Пермского края</t>
  </si>
  <si>
    <t>Субсидия на реализацию мероприятий в сфере молодежной политики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</si>
  <si>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</si>
  <si>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</si>
  <si>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</si>
  <si>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</si>
  <si>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</si>
  <si>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</si>
  <si>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</si>
  <si>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</si>
  <si>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</si>
  <si>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</si>
  <si>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</si>
  <si>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</si>
  <si>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</si>
  <si>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</si>
  <si>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</si>
  <si>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 xml:space="preserve">Субвенции бюджетам муниципальных образований на администрирование отдельных государственных полномочий по поддержке сельскохозяйственного производства 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</si>
  <si>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</si>
  <si>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</si>
  <si>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</si>
  <si>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</si>
  <si>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</si>
  <si>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</si>
  <si>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</si>
  <si>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</si>
  <si>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</si>
  <si>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2 02 35 469 14 0000 150 </t>
  </si>
  <si>
    <t>Субвенции бюджетам городских округов на проведение Всероссийской переписи населения 2020 года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</si>
  <si>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</si>
  <si>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</si>
  <si>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</si>
  <si>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</si>
  <si>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</si>
  <si>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</si>
  <si>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</si>
  <si>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</si>
  <si>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2 02 45 303 14 0000 150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</si>
  <si>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</si>
  <si>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</si>
  <si>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</si>
  <si>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</si>
  <si>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трансферты, передаваемые бюджетам муниципальных образований на реализацию мероприятий по обеспечению устойчивого сокращения непригодного для проживания жилого фонда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</si>
  <si>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</si>
  <si>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</si>
  <si>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</si>
  <si>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2 03 00000 00 0000 000</t>
  </si>
  <si>
    <t>БЕЗВОЗМЕЗДНЫЕ ПОСТУПЛЕНИЯ ОТ ГОСУДАРСТВЕННЫХ (МУНИЦИПАЛЬНЫХ) ОРГАНИЗАЦИЙ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</si>
  <si>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</si>
  <si>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</si>
  <si>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</si>
  <si>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</si>
  <si>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</si>
  <si>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</si>
  <si>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</si>
  <si>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</si>
  <si>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</si>
  <si>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Ожидаемое исполнение бюджета Юсьвинского муниципального района за 2022 год по расходам</t>
  </si>
  <si>
    <t>Наименование</t>
  </si>
  <si>
    <t>уточненный план на 2022 год</t>
  </si>
  <si>
    <t>ожидаемое исполнение</t>
  </si>
  <si>
    <t xml:space="preserve">% исполнения </t>
  </si>
  <si>
    <t>Общегосударственные расходы</t>
  </si>
  <si>
    <t>0600</t>
  </si>
  <si>
    <t>Охрана окружающей среды</t>
  </si>
  <si>
    <t>Культура, кинематография, средства массовой информации</t>
  </si>
  <si>
    <t>0900</t>
  </si>
  <si>
    <t>Здравоохранение</t>
  </si>
  <si>
    <t>1000</t>
  </si>
  <si>
    <t>1100</t>
  </si>
  <si>
    <t>1200</t>
  </si>
  <si>
    <t>Итого расходов</t>
  </si>
  <si>
    <t>Профицит/Дефицит бюджета (+/-)</t>
  </si>
  <si>
    <t>Ожидаемое исполнение бюджета Юсьвинского муниципального района за 2022 год по источникам финансирования дефицита бюджета</t>
  </si>
  <si>
    <t xml:space="preserve">Код </t>
  </si>
  <si>
    <t>Наименование групп, подгрупп, статей, элементов, программ, кодов экономической классификации, истоцников внутреннего финансирования дефицита бюджета</t>
  </si>
  <si>
    <t>Источники финансирования дефицитов бюджетов-всего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</si>
  <si>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</si>
  <si>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</si>
  <si>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остаток на 01.01.2022</t>
  </si>
  <si>
    <t>остаток на 01.01.2023</t>
  </si>
  <si>
    <t>РЕЕСТР</t>
  </si>
  <si>
    <t>Код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</si>
  <si>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</si>
  <si>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</si>
  <si>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</si>
  <si>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бюджета, тыс.руб.</t>
  </si>
  <si>
    <t>на очередной финансовый год</t>
  </si>
  <si>
    <t>на первый год планового периода</t>
  </si>
  <si>
    <t>на второй год планового периода</t>
  </si>
  <si>
    <t>000 1 00 00000 00 0000 000</t>
  </si>
  <si>
    <t>000 1 01 00000 00 0000 000</t>
  </si>
  <si>
    <t>182 1 01 02000 01 0000 110</t>
  </si>
  <si>
    <t>Федеральная налоговая служба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</si>
  <si>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</si>
  <si>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</si>
  <si>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</si>
  <si>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</si>
  <si>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182 1 01 02040 01 0000 110</t>
  </si>
  <si>
    <t>000 1 03 00000 00 0000 000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</si>
  <si>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</si>
  <si>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</si>
  <si>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</si>
  <si>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</si>
  <si>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</si>
  <si>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</si>
  <si>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</si>
  <si>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</si>
  <si>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</si>
  <si>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</si>
  <si>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</si>
  <si>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</si>
  <si>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</si>
  <si>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</si>
  <si>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</si>
  <si>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</si>
  <si>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182 1 05 03000 01 0000 110</t>
  </si>
  <si>
    <t>182 1 05 03010 01 0000 110</t>
  </si>
  <si>
    <t>182 1 05 04000 02 0000 110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</si>
  <si>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</si>
  <si>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</si>
  <si>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</si>
  <si>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 xml:space="preserve">182 ﻿1 06 01000 00 0000 110
</t>
  </si>
  <si>
    <t xml:space="preserve">﻿Налог на имущество физических лиц
</t>
  </si>
  <si>
    <t>182 1 06 01020 14 0000 110</t>
  </si>
  <si>
    <t>182 1 06 04000 02 0000 110</t>
  </si>
  <si>
    <t>182 1 06 04011 02 0000 110</t>
  </si>
  <si>
    <t>182 1 06 04012 02 0000 110</t>
  </si>
  <si>
    <t>182 1 06 06000 00 0000 110</t>
  </si>
  <si>
    <t>182 1 06 06032 14 0000 110</t>
  </si>
  <si>
    <t xml:space="preserve">﻿Земельный налог с организаций, обладающих земельным участком, расположенным в границах муниципальных округов
</t>
  </si>
  <si>
    <t>182 1 06 06042 14 0000 110</t>
  </si>
  <si>
    <t xml:space="preserve">﻿Земельный налог с физических лиц, обладающих земельным участком, расположенным в границах муниципальных округов
</t>
  </si>
  <si>
    <t>000 1 08 00000 00 0000 000</t>
  </si>
  <si>
    <t>182 1 08 03000 01 0000 110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</si>
  <si>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</si>
  <si>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</si>
  <si>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601 1 08 04 000 01 0000 110 </t>
  </si>
  <si>
    <t xml:space="preserve">﻿Государственная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</si>
  <si>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601 1 08 04 020 01 0000 110 </t>
  </si>
  <si>
    <t xml:space="preserve"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</si>
  <si>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601 1 08 07000 01 0000 110</t>
  </si>
  <si>
    <t xml:space="preserve">601 1 08 07 173 01 0000 110 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</si>
  <si>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округов</t>
  </si>
  <si>
    <t>000 1 11 00000 00 0000 000</t>
  </si>
  <si>
    <t>601 1 11 05000 00 0000 120</t>
  </si>
  <si>
    <t>601 1 11 05010 00 0000 120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</si>
  <si>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</si>
  <si>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601 1 11 05 012 14 0000 120 </t>
  </si>
  <si>
    <t xml:space="preserve"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</si>
  <si>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601 1 11 05020 00 0000 120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</si>
  <si>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</si>
  <si>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601 1 11 05 024 14 0000 120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</si>
  <si>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
</t>
  </si>
  <si>
    <t>601 1 11 05030 00 0000 120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</si>
  <si>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</si>
  <si>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601 1 11 05 034 14 0000 120 </t>
  </si>
  <si>
    <t xml:space="preserve">601 ﻿1 11 09000 00 0000 120
</t>
  </si>
  <si>
    <t xml:space="preserve">601 1 11 09 044 14 0000 120 </t>
  </si>
  <si>
    <t xml:space="preserve"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</si>
  <si>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000 1 12 00000 00 0000 000</t>
  </si>
  <si>
    <t>048 1 12 01000 01 0000 120</t>
  </si>
  <si>
    <t>Федеральная служба по надзору в сфере природопользования</t>
  </si>
  <si>
    <t>048 1 12 01010 01 0000 120</t>
  </si>
  <si>
    <t xml:space="preserve">Плата за выбросы загрязняющих веществ в атмосферный воздух стационарными объектами </t>
  </si>
  <si>
    <t>048 1 12 01030 01 0000 120</t>
  </si>
  <si>
    <t>048 1 12 01041 01 0000 120</t>
  </si>
  <si>
    <t xml:space="preserve">Плата за размещение отходов производства </t>
  </si>
  <si>
    <t>000 1 13 00000 00 0000 000</t>
  </si>
  <si>
    <t>ДОХОДЫ ОТ ОКАЗАНИЯ ПЛАТНЫХ УСЛУГ (РАБОТ) И КОМПЕНСАЦИИ ЗАТРАТ ГОСУДАРСТВА</t>
  </si>
  <si>
    <t>601 1 13 01000 00 0000 130</t>
  </si>
  <si>
    <t>601 1 13 01990 00 0000 130</t>
  </si>
  <si>
    <t>Прочие доходы от оказания платных услуг (работ)</t>
  </si>
  <si>
    <t xml:space="preserve">601 1 13 01 994 14 0000 130 </t>
  </si>
  <si>
    <t>601 1 13 02000 00 0000 130</t>
  </si>
  <si>
    <t xml:space="preserve">601 1 13 02 060 00 0000 130 </t>
  </si>
  <si>
    <t>Доходы, поступающие в порядке возмещения расходов, понесенных в связи с эксплуатацией имущества</t>
  </si>
  <si>
    <t xml:space="preserve">601 1 13 02 064 14 0000 130 </t>
  </si>
  <si>
    <t>000 1 14 00000 00 0000 000</t>
  </si>
  <si>
    <t xml:space="preserve">601 ﻿1 14 02000 00 0000 000
</t>
  </si>
  <si>
    <t xml:space="preserve">601 ﻿1 14 02043 14 0000 410
</t>
  </si>
  <si>
    <t>601 1 14 06000 00 0000 430</t>
  </si>
  <si>
    <t>601 1 14 06010 00 0000 430</t>
  </si>
  <si>
    <t>Доходы от продажи земельных участков, государственная собственность на которые не разграничена</t>
  </si>
  <si>
    <t xml:space="preserve">601 1 14 06 012 14 0000 430 </t>
  </si>
  <si>
    <t>﻿Доходы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</si>
  <si>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603 ﻿1 14 06020 00 0000 430</t>
  </si>
  <si>
    <t>﻿Доходы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</si>
  <si>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603 1 14 06 024 04 0000 430 </t>
  </si>
  <si>
    <t>000 1 16 00000 00 0000 000</t>
  </si>
  <si>
    <t xml:space="preserve">811 ﻿1 16 01000 01 0000 140
</t>
  </si>
  <si>
    <t xml:space="preserve">﻿Административные штрафы, установленные Кодексом Российской Федерации об административных правонарушениях
</t>
  </si>
  <si>
    <t>Администрация губернатора Пермского края</t>
  </si>
  <si>
    <t xml:space="preserve">811 ﻿1 16 01053 01 0000 140
</t>
  </si>
  <si>
    <t xml:space="preserve"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</si>
  <si>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811 ﻿1 16 01063 01 0000 140
</t>
  </si>
  <si>
    <t xml:space="preserve">811 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</si>
  <si>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</si>
  <si>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811 ﻿1 16 01203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</si>
  <si>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</si>
  <si>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886 ﻿1 16 01000 01 0000 140
</t>
  </si>
  <si>
    <t xml:space="preserve">Агентство по делам юстиции и мировых судей Пермского края </t>
  </si>
  <si>
    <t xml:space="preserve">886 ﻿1 16 01053 01 0000 140
</t>
  </si>
  <si>
    <t xml:space="preserve">886 ﻿1 16 01063 01 0000 140
</t>
  </si>
  <si>
    <t xml:space="preserve">886 ﻿1 16 01073 01 0000 140
</t>
  </si>
  <si>
    <t xml:space="preserve">886 ﻿1 16 01083 01 0000 140
</t>
  </si>
  <si>
    <t xml:space="preserve">886 ﻿1 16 01103 01 0000 140
</t>
  </si>
  <si>
    <t xml:space="preserve">886 ﻿1 16 01143 01 0000 140
</t>
  </si>
  <si>
    <t xml:space="preserve">886 ﻿1 16 01153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</si>
  <si>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</si>
  <si>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886 ﻿1 16 01173 01 0000 140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</si>
  <si>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</si>
  <si>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﻿886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</si>
  <si>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</si>
  <si>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886 ﻿1 16 01203 01 0000 140
</t>
  </si>
  <si>
    <t xml:space="preserve">886 ﻿1 16 01333 01 0000 140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</si>
  <si>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</si>
  <si>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000 2 00 00000 00 0000 000</t>
  </si>
  <si>
    <t>000 2 02 00000 00 0000 000</t>
  </si>
  <si>
    <t xml:space="preserve">651 2 02 10000 00 0000 150
</t>
  </si>
  <si>
    <t xml:space="preserve">Дотации бюджетам бюджетной системы Российской Федерации
</t>
  </si>
  <si>
    <t xml:space="preserve">651 2 02 15001 14 0000 150 </t>
  </si>
  <si>
    <t xml:space="preserve">651 2 02 15002 14 0000 150 </t>
  </si>
  <si>
    <t xml:space="preserve">651 2 02 19999 14 0000 150 </t>
  </si>
  <si>
    <t>Прочие дотации бюджетам муниципальных округов</t>
  </si>
  <si>
    <t>651 2 02 20000 00 0000 150</t>
  </si>
  <si>
    <t>Субсидии от других бюджетов бюджетной системы Российской Федерации</t>
  </si>
  <si>
    <t>651 2 02 25 555 00 0000 150</t>
  </si>
  <si>
    <t>651 2 02 25 555 14 0000 150</t>
  </si>
  <si>
    <t>﻿651 2 02 25 576 00 0000 150</t>
  </si>
  <si>
    <t>651 ﻿2 02 25 576 14 0000 150</t>
  </si>
  <si>
    <t>651 2 02 29999 00 0000 150</t>
  </si>
  <si>
    <t>Прочие субсидии</t>
  </si>
  <si>
    <t xml:space="preserve">651 2 02 29999 14 0000 150 </t>
  </si>
  <si>
    <t>651 2 02 30000 00 0000 150</t>
  </si>
  <si>
    <t>Субвенции от других бюджетов бюджетной системы Российской Федерации</t>
  </si>
  <si>
    <t xml:space="preserve">651 2 02 30024 14 0000 150 </t>
  </si>
  <si>
    <t>﻿Субвенции бюджетам муниципальных округов на выполнение передаваемых полномочий субъектов Российской Федерации</t>
  </si>
  <si>
    <t xml:space="preserve">651 2 02 35082 14 0000 150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</si>
  <si>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</si>
  <si>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651 2 02 35118 14 0000 150</t>
  </si>
  <si>
    <t xml:space="preserve">651 2 02 35120 14 0000 150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</si>
  <si>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</si>
  <si>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651 2 02 35930 14 0000 150 </t>
  </si>
  <si>
    <t xml:space="preserve">651 2 02 39999 14 0000 150 </t>
  </si>
  <si>
    <t>651 2 02 40000 00 0000 150</t>
  </si>
  <si>
    <t>Иные межбюджетные трансферты</t>
  </si>
  <si>
    <t xml:space="preserve">651 2 02 45 303 14 0000 150 </t>
  </si>
  <si>
    <t xml:space="preserve">651 2 02 49999 14 0000 150 </t>
  </si>
  <si>
    <t>Перечень муниципальных программ Юсьвинского муниципального округа Пермского края</t>
  </si>
  <si>
    <t>Наименование муниципальной программы</t>
  </si>
  <si>
    <t>Муниципальная программа «Совершенствование муниципального управления в Юсьвинском муниципальном округе Пермского края»</t>
  </si>
  <si>
    <t>Муниципальная программа «Развитие образования  Юсьвинского муниципального округа Пермского края»</t>
  </si>
  <si>
    <t>Муниципальная программа «Улучшение качества жизни населения  Юсьвинского муниципального округа Пермского края»</t>
  </si>
  <si>
    <t>Муниципальная программа «Управление муниципальным имуществом Юсьвинского муниципального округа Пермского края»</t>
  </si>
  <si>
    <t>Муниципальная программа «Развитие культуры, искусства и молодежной политики в Юсьвинском муниципальном округе Пермского края»</t>
  </si>
  <si>
    <t>Муниципальная программа «Развитие физической культуры и спорта в Юсьвинском муниципальном округе Пермского края»</t>
  </si>
  <si>
    <t>Муниципальная программа «Обеспечение общественной безопасности на  территории Юсьвинского муниципального округа Пермского края»</t>
  </si>
  <si>
    <t>Муниципальная программа «Экономическое развитие Юсьвинского муниципального округа Пермского края»</t>
  </si>
  <si>
    <t>Муниципальная программа «Территориальное развитие Юсьвинского муниципального округа Пермского края»</t>
  </si>
  <si>
    <t>Муниципальная программа «Развитие транспортной системы  Юсьвинского муниципального округа Пермского края»</t>
  </si>
  <si>
    <t>Муниципальная программа «Формирование комфортной городской среды на территории Юсьвинского муниципального округа Пермского края»</t>
  </si>
  <si>
    <t>Муниципальная программа «Защита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объектах»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</si>
  <si>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</si>
  <si>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Муниципальная программа «Распоряжение земельными ресурсами и развитие градостроительной деятельности в Юсьвинском муниципальном округе Пермского края»</t>
  </si>
  <si>
    <t>Приложение 3</t>
  </si>
  <si>
    <t>Справочно 1</t>
  </si>
  <si>
    <t>Структура муниципального долга Юсьвинского муниципального округа Пермского края</t>
  </si>
  <si>
    <t>Справочно 2</t>
  </si>
  <si>
    <t>Ожидаемое исполнение бюджета</t>
  </si>
  <si>
    <t>Справочно 3</t>
  </si>
  <si>
    <t>Справочно 4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</si>
  <si>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2023 год и на плановый период 2024-2025 годов</t>
  </si>
  <si>
    <t>Реестр источников доходов бюджета Юсьвинского муниципального округа Пермского края</t>
  </si>
  <si>
    <t>651 2 02 20 077 14 0000 150</t>
  </si>
  <si>
    <t>Субсидии бюджетам  на софинансирование капитальных вложений в объекты муниципальной собственности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</si>
  <si>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2023-20245 годы</t>
  </si>
  <si>
    <t>Ведомственная структура расходов Юсьвинского муниципального округа Пермского края  на 2023 год и на плановый период 2024-2025 годы</t>
  </si>
  <si>
    <t xml:space="preserve">Перечень объектов капитального строительства на 2023 год и на плановый период 2024-2025 годов </t>
  </si>
  <si>
    <t>Распределение средств дорожного фонда Юсьвинского муниципального округа Пермского края  на 2023 год и на плановый период 2024-2025 годы</t>
  </si>
  <si>
    <t>Источники внутреннего финансирования дефицита бюджета Юсьвинского муниципального округа Пермского края на 2023 год и плановый период 2024- 2025 годов</t>
  </si>
  <si>
    <t>Программа муниципальных внутренних заимствований Юсьвинского муниципального округа Пермского края на 2023 год и на плановый период 2024-2025 годов</t>
  </si>
  <si>
    <t>Программа муниципальных гарантий Юсьвинского муниципального округа Пермского края  на 2023 год и на плановый период 2024-2025 годов</t>
  </si>
  <si>
    <t>Распределение средств дорожного фонда Юсьвинского муниципального округа  Пермского края на 2023 год и на плановый период 2024-2025 годы</t>
  </si>
  <si>
    <t>Источники финансирования дефицита бюджета Юсьвинского муниципального округа Пермского края на 2023 год и на плановый период 2024 и 2025 годов</t>
  </si>
  <si>
    <t>муниципальных внутренних заимствований Юсьвинского муниципального округа Пермского края  на 2023 год и на плановый период 2024-2025 годов</t>
  </si>
  <si>
    <t>муниципальных гарантий Юсьвинского муниципального округа Пермского края на 2023 год и на плановый период 2024-2025 годов</t>
  </si>
  <si>
    <t>долга Юсьвинского муниципального округа Пермского края</t>
  </si>
  <si>
    <t>источников доходов бюджета Юсьвинского муниципального округа Пермского края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</si>
  <si>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</si>
  <si>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</si>
  <si>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</si>
  <si>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</si>
  <si>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</si>
  <si>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Общегосударственные вопросы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</si>
  <si>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</si>
  <si>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</si>
  <si>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Снос расселенных домов после расселения жителей из труднодоступных, отдаленных и малочисленных населенных пунктов</t>
  </si>
  <si>
    <t>Основное мероприятие "Реализация мероприятий по переселению жителей Пермского края в целях создания условий для их комфортного проживания"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</si>
  <si>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</si>
  <si>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</si>
  <si>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</si>
  <si>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Реализация проектов инициативного бюджетирования</t>
  </si>
  <si>
    <t xml:space="preserve">10 2 20 SP080 </t>
  </si>
  <si>
    <t>07 0 10 SФ320</t>
  </si>
  <si>
    <t>Реализация мероприятия "Умею плавать!"</t>
  </si>
  <si>
    <t xml:space="preserve">91 0 00 00032 </t>
  </si>
  <si>
    <t>Расходы, связанные с созданием официальной страницы для размещения информации о деятельности Думы Юсьвинского муниципального округа Пермского края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</si>
  <si>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</si>
  <si>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</si>
  <si>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муниципального округа</t>
  </si>
  <si>
    <t>Пермского края</t>
  </si>
  <si>
    <t>от 22.12.2022 № 475</t>
  </si>
  <si>
    <t xml:space="preserve">муниципального округа </t>
  </si>
  <si>
    <t>Пемского края</t>
  </si>
  <si>
    <t xml:space="preserve">к  решению Думы Юсьвинского </t>
  </si>
  <si>
    <t xml:space="preserve"> Пермского края</t>
  </si>
  <si>
    <t>от 22.12.2022 №475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</si>
</sst>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?"/>
    <numFmt numFmtId="170" formatCode="?.0"/>
    <numFmt numFmtId="171" formatCode="#,##0.000"/>
    <numFmt numFmtId="172" formatCode="#,##0.0000"/>
  </numFmts>
  <fonts count="10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sz val="14"/>
      <color indexed="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color indexed="8"/>
      <name val="Times New Roman CYR"/>
    </font>
    <font>
      <sz val="14"/>
      <color indexed="8"/>
      <name val="Times New Roman CYR"/>
    </font>
    <font>
      <b/>
      <sz val="12"/>
      <color indexed="8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</fonts>
  <fills count="7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63">
    <xf numFmtId="0" fontId="0" fillId="0" borderId="0"/>
    <xf numFmtId="0" fontId="2" fillId="0" borderId="0"/>
    <xf numFmtId="0" fontId="1" fillId="0" borderId="0"/>
    <xf numFmtId="0" fontId="6" fillId="0" borderId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1" fillId="19" borderId="0" applyNumberFormat="0" applyBorder="0" applyAlignment="0" applyProtection="0"/>
    <xf numFmtId="0" fontId="11" fillId="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9" borderId="0" applyNumberFormat="0" applyBorder="0" applyAlignment="0" applyProtection="0"/>
    <xf numFmtId="0" fontId="11" fillId="18" borderId="0" applyNumberFormat="0" applyBorder="0" applyAlignment="0" applyProtection="0"/>
    <xf numFmtId="0" fontId="12" fillId="24" borderId="0" applyNumberFormat="0" applyBorder="0" applyAlignment="0" applyProtection="0"/>
    <xf numFmtId="0" fontId="12" fillId="9" borderId="0" applyNumberFormat="0" applyBorder="0" applyAlignment="0" applyProtection="0"/>
    <xf numFmtId="0" fontId="12" fillId="22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3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34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5" fillId="34" borderId="0" applyNumberFormat="0" applyBorder="0" applyAlignment="0" applyProtection="0"/>
    <xf numFmtId="0" fontId="16" fillId="48" borderId="4" applyNumberFormat="0" applyAlignment="0" applyProtection="0"/>
    <xf numFmtId="0" fontId="17" fillId="35" borderId="5" applyNumberFormat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52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46" borderId="4" applyNumberFormat="0" applyAlignment="0" applyProtection="0"/>
    <xf numFmtId="0" fontId="25" fillId="0" borderId="9" applyNumberFormat="0" applyFill="0" applyAlignment="0" applyProtection="0"/>
    <xf numFmtId="0" fontId="26" fillId="46" borderId="0" applyNumberFormat="0" applyBorder="0" applyAlignment="0" applyProtection="0"/>
    <xf numFmtId="0" fontId="27" fillId="0" borderId="0"/>
    <xf numFmtId="0" fontId="6" fillId="45" borderId="10" applyNumberFormat="0" applyFont="0" applyAlignment="0" applyProtection="0"/>
    <xf numFmtId="0" fontId="28" fillId="48" borderId="11" applyNumberFormat="0" applyAlignment="0" applyProtection="0"/>
    <xf numFmtId="0" fontId="6" fillId="0" borderId="0"/>
    <xf numFmtId="4" fontId="29" fillId="53" borderId="12" applyNumberFormat="0" applyProtection="0">
      <alignment vertical="center"/>
    </xf>
    <xf numFmtId="0" fontId="6" fillId="0" borderId="0"/>
    <xf numFmtId="0" fontId="6" fillId="0" borderId="0"/>
    <xf numFmtId="0" fontId="6" fillId="0" borderId="0"/>
    <xf numFmtId="4" fontId="30" fillId="53" borderId="12" applyNumberFormat="0" applyProtection="0">
      <alignment vertical="center"/>
    </xf>
    <xf numFmtId="0" fontId="6" fillId="0" borderId="0"/>
    <xf numFmtId="0" fontId="6" fillId="0" borderId="0"/>
    <xf numFmtId="4" fontId="29" fillId="53" borderId="12" applyNumberFormat="0" applyProtection="0">
      <alignment horizontal="left" vertical="center" indent="1"/>
    </xf>
    <xf numFmtId="0" fontId="6" fillId="0" borderId="0"/>
    <xf numFmtId="4" fontId="31" fillId="54" borderId="13" applyNumberFormat="0" applyProtection="0">
      <alignment horizontal="left" vertical="center" indent="1"/>
    </xf>
    <xf numFmtId="0" fontId="6" fillId="0" borderId="0"/>
    <xf numFmtId="0" fontId="29" fillId="53" borderId="12" applyNumberFormat="0" applyProtection="0">
      <alignment horizontal="left" vertical="top" indent="1"/>
    </xf>
    <xf numFmtId="0" fontId="6" fillId="0" borderId="0"/>
    <xf numFmtId="0" fontId="6" fillId="0" borderId="0"/>
    <xf numFmtId="4" fontId="29" fillId="8" borderId="0" applyNumberFormat="0" applyProtection="0">
      <alignment horizontal="left" vertical="center" indent="1"/>
    </xf>
    <xf numFmtId="0" fontId="6" fillId="0" borderId="0"/>
    <xf numFmtId="0" fontId="6" fillId="0" borderId="0"/>
    <xf numFmtId="4" fontId="9" fillId="13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9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55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23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27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56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20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57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22" borderId="12" applyNumberFormat="0" applyProtection="0">
      <alignment horizontal="right" vertical="center"/>
    </xf>
    <xf numFmtId="0" fontId="6" fillId="0" borderId="0"/>
    <xf numFmtId="0" fontId="6" fillId="0" borderId="0"/>
    <xf numFmtId="4" fontId="29" fillId="58" borderId="14" applyNumberFormat="0" applyProtection="0">
      <alignment horizontal="left" vertical="center" indent="1"/>
    </xf>
    <xf numFmtId="0" fontId="6" fillId="0" borderId="0"/>
    <xf numFmtId="0" fontId="6" fillId="0" borderId="0"/>
    <xf numFmtId="4" fontId="9" fillId="59" borderId="0" applyNumberFormat="0" applyProtection="0">
      <alignment horizontal="left" vertical="center" indent="1"/>
    </xf>
    <xf numFmtId="0" fontId="6" fillId="0" borderId="0"/>
    <xf numFmtId="0" fontId="6" fillId="0" borderId="0"/>
    <xf numFmtId="4" fontId="32" fillId="19" borderId="0" applyNumberFormat="0" applyProtection="0">
      <alignment horizontal="left" vertical="center" indent="1"/>
    </xf>
    <xf numFmtId="0" fontId="6" fillId="0" borderId="0"/>
    <xf numFmtId="0" fontId="6" fillId="0" borderId="0"/>
    <xf numFmtId="4" fontId="9" fillId="8" borderId="12" applyNumberFormat="0" applyProtection="0">
      <alignment horizontal="right" vertical="center"/>
    </xf>
    <xf numFmtId="0" fontId="6" fillId="0" borderId="0"/>
    <xf numFmtId="0" fontId="6" fillId="0" borderId="0"/>
    <xf numFmtId="4" fontId="33" fillId="59" borderId="0" applyNumberFormat="0" applyProtection="0">
      <alignment horizontal="left" vertical="center" indent="1"/>
    </xf>
    <xf numFmtId="0" fontId="6" fillId="0" borderId="0"/>
    <xf numFmtId="0" fontId="6" fillId="0" borderId="0"/>
    <xf numFmtId="4" fontId="33" fillId="8" borderId="0" applyNumberFormat="0" applyProtection="0">
      <alignment horizontal="left" vertical="center" indent="1"/>
    </xf>
    <xf numFmtId="0" fontId="6" fillId="0" borderId="0"/>
    <xf numFmtId="0" fontId="31" fillId="21" borderId="13" applyNumberFormat="0" applyProtection="0">
      <alignment horizontal="left" vertical="center" indent="1"/>
    </xf>
    <xf numFmtId="0" fontId="6" fillId="19" borderId="12" applyNumberFormat="0" applyProtection="0">
      <alignment horizontal="left" vertical="center" indent="1"/>
    </xf>
    <xf numFmtId="0" fontId="6" fillId="19" borderId="12" applyNumberFormat="0" applyProtection="0">
      <alignment horizontal="left" vertical="center" indent="1"/>
    </xf>
    <xf numFmtId="0" fontId="6" fillId="0" borderId="0"/>
    <xf numFmtId="0" fontId="6" fillId="19" borderId="12" applyNumberFormat="0" applyProtection="0">
      <alignment horizontal="left" vertical="top" indent="1"/>
    </xf>
    <xf numFmtId="0" fontId="6" fillId="0" borderId="0"/>
    <xf numFmtId="0" fontId="31" fillId="60" borderId="13" applyNumberFormat="0" applyProtection="0">
      <alignment horizontal="left" vertical="center" indent="1"/>
    </xf>
    <xf numFmtId="0" fontId="6" fillId="8" borderId="12" applyNumberFormat="0" applyProtection="0">
      <alignment horizontal="left" vertical="center" indent="1"/>
    </xf>
    <xf numFmtId="0" fontId="6" fillId="0" borderId="0"/>
    <xf numFmtId="0" fontId="6" fillId="8" borderId="12" applyNumberFormat="0" applyProtection="0">
      <alignment horizontal="left" vertical="top" indent="1"/>
    </xf>
    <xf numFmtId="0" fontId="6" fillId="0" borderId="0"/>
    <xf numFmtId="0" fontId="31" fillId="12" borderId="13" applyNumberFormat="0" applyProtection="0">
      <alignment horizontal="left" vertical="center" indent="1"/>
    </xf>
    <xf numFmtId="0" fontId="31" fillId="12" borderId="13" applyNumberFormat="0" applyProtection="0">
      <alignment horizontal="left" vertical="center" indent="1"/>
    </xf>
    <xf numFmtId="0" fontId="6" fillId="0" borderId="0"/>
    <xf numFmtId="0" fontId="6" fillId="12" borderId="12" applyNumberFormat="0" applyProtection="0">
      <alignment horizontal="left" vertical="top" indent="1"/>
    </xf>
    <xf numFmtId="0" fontId="6" fillId="0" borderId="0"/>
    <xf numFmtId="0" fontId="6" fillId="0" borderId="0"/>
    <xf numFmtId="0" fontId="6" fillId="59" borderId="12" applyNumberFormat="0" applyProtection="0">
      <alignment horizontal="left" vertical="center" indent="1"/>
    </xf>
    <xf numFmtId="0" fontId="6" fillId="0" borderId="0"/>
    <xf numFmtId="0" fontId="6" fillId="0" borderId="0"/>
    <xf numFmtId="0" fontId="6" fillId="59" borderId="12" applyNumberFormat="0" applyProtection="0">
      <alignment horizontal="left" vertical="top" indent="1"/>
    </xf>
    <xf numFmtId="0" fontId="6" fillId="0" borderId="0"/>
    <xf numFmtId="0" fontId="6" fillId="0" borderId="0"/>
    <xf numFmtId="0" fontId="6" fillId="11" borderId="2" applyNumberFormat="0">
      <protection locked="0"/>
    </xf>
    <xf numFmtId="0" fontId="6" fillId="0" borderId="0"/>
    <xf numFmtId="0" fontId="34" fillId="19" borderId="15" applyBorder="0"/>
    <xf numFmtId="0" fontId="6" fillId="0" borderId="0"/>
    <xf numFmtId="4" fontId="9" fillId="10" borderId="12" applyNumberFormat="0" applyProtection="0">
      <alignment vertical="center"/>
    </xf>
    <xf numFmtId="0" fontId="6" fillId="0" borderId="0"/>
    <xf numFmtId="0" fontId="6" fillId="0" borderId="0"/>
    <xf numFmtId="4" fontId="35" fillId="10" borderId="12" applyNumberFormat="0" applyProtection="0">
      <alignment vertical="center"/>
    </xf>
    <xf numFmtId="0" fontId="6" fillId="0" borderId="0"/>
    <xf numFmtId="0" fontId="6" fillId="0" borderId="0"/>
    <xf numFmtId="4" fontId="9" fillId="10" borderId="12" applyNumberFormat="0" applyProtection="0">
      <alignment horizontal="left" vertical="center" indent="1"/>
    </xf>
    <xf numFmtId="0" fontId="6" fillId="0" borderId="0"/>
    <xf numFmtId="0" fontId="6" fillId="0" borderId="0"/>
    <xf numFmtId="0" fontId="9" fillId="10" borderId="12" applyNumberFormat="0" applyProtection="0">
      <alignment horizontal="left" vertical="top" indent="1"/>
    </xf>
    <xf numFmtId="0" fontId="6" fillId="0" borderId="0"/>
    <xf numFmtId="4" fontId="31" fillId="0" borderId="13" applyNumberFormat="0" applyProtection="0">
      <alignment horizontal="right" vertical="center"/>
    </xf>
    <xf numFmtId="4" fontId="31" fillId="0" borderId="13" applyNumberFormat="0" applyProtection="0">
      <alignment horizontal="right" vertical="center"/>
    </xf>
    <xf numFmtId="4" fontId="31" fillId="0" borderId="13" applyNumberFormat="0" applyProtection="0">
      <alignment horizontal="right" vertical="center"/>
    </xf>
    <xf numFmtId="0" fontId="6" fillId="0" borderId="0"/>
    <xf numFmtId="4" fontId="35" fillId="59" borderId="12" applyNumberFormat="0" applyProtection="0">
      <alignment horizontal="right" vertical="center"/>
    </xf>
    <xf numFmtId="0" fontId="6" fillId="0" borderId="0"/>
    <xf numFmtId="0" fontId="6" fillId="0" borderId="0"/>
    <xf numFmtId="4" fontId="9" fillId="8" borderId="12" applyNumberFormat="0" applyProtection="0">
      <alignment horizontal="left" vertical="center" indent="1"/>
    </xf>
    <xf numFmtId="0" fontId="6" fillId="0" borderId="0"/>
    <xf numFmtId="0" fontId="6" fillId="0" borderId="0"/>
    <xf numFmtId="0" fontId="6" fillId="0" borderId="0"/>
    <xf numFmtId="0" fontId="9" fillId="8" borderId="12" applyNumberFormat="0" applyProtection="0">
      <alignment horizontal="left" vertical="top" indent="1"/>
    </xf>
    <xf numFmtId="0" fontId="6" fillId="0" borderId="0"/>
    <xf numFmtId="0" fontId="6" fillId="0" borderId="0"/>
    <xf numFmtId="4" fontId="36" fillId="61" borderId="0" applyNumberFormat="0" applyProtection="0">
      <alignment horizontal="left" vertical="center" indent="1"/>
    </xf>
    <xf numFmtId="0" fontId="6" fillId="0" borderId="0"/>
    <xf numFmtId="0" fontId="31" fillId="62" borderId="2"/>
    <xf numFmtId="0" fontId="6" fillId="0" borderId="0"/>
    <xf numFmtId="4" fontId="37" fillId="59" borderId="12" applyNumberFormat="0" applyProtection="0">
      <alignment horizontal="right" vertical="center"/>
    </xf>
    <xf numFmtId="0" fontId="6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8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12" fillId="63" borderId="0" applyNumberFormat="0" applyBorder="0" applyAlignment="0" applyProtection="0"/>
    <xf numFmtId="0" fontId="12" fillId="55" borderId="0" applyNumberFormat="0" applyBorder="0" applyAlignment="0" applyProtection="0"/>
    <xf numFmtId="0" fontId="12" fillId="20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56" borderId="0" applyNumberFormat="0" applyBorder="0" applyAlignment="0" applyProtection="0"/>
    <xf numFmtId="0" fontId="40" fillId="18" borderId="4" applyNumberFormat="0" applyAlignment="0" applyProtection="0"/>
    <xf numFmtId="0" fontId="41" fillId="21" borderId="11" applyNumberFormat="0" applyAlignment="0" applyProtection="0"/>
    <xf numFmtId="0" fontId="42" fillId="21" borderId="4" applyNumberFormat="0" applyAlignment="0" applyProtection="0"/>
    <xf numFmtId="0" fontId="43" fillId="0" borderId="17" applyNumberFormat="0" applyFill="0" applyAlignment="0" applyProtection="0"/>
    <xf numFmtId="0" fontId="44" fillId="0" borderId="7" applyNumberFormat="0" applyFill="0" applyAlignment="0" applyProtection="0"/>
    <xf numFmtId="0" fontId="45" fillId="0" borderId="18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19" applyNumberFormat="0" applyFill="0" applyAlignment="0" applyProtection="0"/>
    <xf numFmtId="0" fontId="47" fillId="64" borderId="5" applyNumberFormat="0" applyAlignment="0" applyProtection="0"/>
    <xf numFmtId="0" fontId="48" fillId="0" borderId="0" applyNumberFormat="0" applyFill="0" applyBorder="0" applyAlignment="0" applyProtection="0"/>
    <xf numFmtId="0" fontId="49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2" fillId="65" borderId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6" fillId="0" borderId="0"/>
    <xf numFmtId="0" fontId="4" fillId="0" borderId="0"/>
    <xf numFmtId="0" fontId="52" fillId="65" borderId="0"/>
    <xf numFmtId="0" fontId="50" fillId="0" borderId="0"/>
    <xf numFmtId="0" fontId="53" fillId="13" borderId="0" applyNumberFormat="0" applyBorder="0" applyAlignment="0" applyProtection="0"/>
    <xf numFmtId="0" fontId="54" fillId="0" borderId="0" applyNumberFormat="0" applyFill="0" applyBorder="0" applyAlignment="0" applyProtection="0"/>
    <xf numFmtId="0" fontId="6" fillId="10" borderId="10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20" applyNumberFormat="0" applyFill="0" applyAlignment="0" applyProtection="0"/>
    <xf numFmtId="0" fontId="56" fillId="0" borderId="0"/>
    <xf numFmtId="0" fontId="57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8" fillId="15" borderId="0" applyNumberFormat="0" applyBorder="0" applyAlignment="0" applyProtection="0"/>
  </cellStyleXfs>
  <cellXfs count="528">
    <xf numFmtId="0" fontId="0" fillId="0" borderId="0" xfId="0"/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wrapText="1"/>
    </xf>
    <xf numFmtId="0" fontId="4" fillId="2" borderId="2" xfId="1" applyFont="1" applyFill="1" applyBorder="1" applyAlignment="1">
      <alignment vertical="top" wrapText="1"/>
    </xf>
    <xf numFmtId="0" fontId="4" fillId="0" borderId="2" xfId="2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1" applyFont="1" applyFill="1" applyBorder="1" applyAlignment="1">
      <alignment vertical="center" wrapText="1"/>
    </xf>
    <xf numFmtId="49" fontId="4" fillId="2" borderId="2" xfId="1" applyNumberFormat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left" vertical="top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wrapText="1"/>
    </xf>
    <xf numFmtId="0" fontId="4" fillId="0" borderId="2" xfId="1" applyFont="1" applyFill="1" applyBorder="1" applyAlignment="1">
      <alignment horizontal="left" wrapText="1"/>
    </xf>
    <xf numFmtId="49" fontId="7" fillId="2" borderId="2" xfId="1" applyNumberFormat="1" applyFont="1" applyFill="1" applyBorder="1" applyAlignment="1">
      <alignment horizontal="center" wrapText="1"/>
    </xf>
    <xf numFmtId="0" fontId="7" fillId="2" borderId="2" xfId="1" applyFont="1" applyFill="1" applyBorder="1" applyAlignment="1">
      <alignment wrapText="1"/>
    </xf>
    <xf numFmtId="164" fontId="7" fillId="2" borderId="2" xfId="1" applyNumberFormat="1" applyFont="1" applyFill="1" applyBorder="1" applyAlignment="1">
      <alignment horizontal="center" vertical="top" wrapText="1"/>
    </xf>
    <xf numFmtId="164" fontId="7" fillId="2" borderId="2" xfId="1" applyNumberFormat="1" applyFont="1" applyFill="1" applyBorder="1" applyAlignment="1">
      <alignment horizontal="center" wrapText="1"/>
    </xf>
    <xf numFmtId="49" fontId="8" fillId="2" borderId="2" xfId="1" applyNumberFormat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justify"/>
    </xf>
    <xf numFmtId="164" fontId="4" fillId="2" borderId="2" xfId="1" applyNumberFormat="1" applyFont="1" applyFill="1" applyBorder="1" applyAlignment="1">
      <alignment horizontal="center" wrapText="1"/>
    </xf>
    <xf numFmtId="49" fontId="8" fillId="5" borderId="2" xfId="1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vertical="top" wrapText="1"/>
    </xf>
    <xf numFmtId="164" fontId="8" fillId="5" borderId="2" xfId="1" applyNumberFormat="1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center" vertical="top" wrapText="1"/>
    </xf>
    <xf numFmtId="49" fontId="8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Fill="1" applyBorder="1" applyAlignment="1">
      <alignment wrapText="1"/>
    </xf>
    <xf numFmtId="49" fontId="4" fillId="0" borderId="2" xfId="1" applyNumberFormat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left" wrapText="1"/>
    </xf>
    <xf numFmtId="0" fontId="8" fillId="5" borderId="2" xfId="1" applyFont="1" applyFill="1" applyBorder="1" applyAlignment="1">
      <alignment horizontal="left" vertical="top" wrapText="1"/>
    </xf>
    <xf numFmtId="0" fontId="8" fillId="5" borderId="2" xfId="1" applyFont="1" applyFill="1" applyBorder="1" applyAlignment="1">
      <alignment horizontal="left" wrapText="1"/>
    </xf>
    <xf numFmtId="0" fontId="4" fillId="2" borderId="2" xfId="1" applyFont="1" applyFill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center" wrapText="1"/>
    </xf>
    <xf numFmtId="0" fontId="4" fillId="0" borderId="2" xfId="1" applyFont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59" fillId="2" borderId="0" xfId="1" applyFont="1" applyFill="1" applyAlignment="1">
      <alignment vertical="center" wrapText="1"/>
    </xf>
    <xf numFmtId="0" fontId="60" fillId="0" borderId="0" xfId="0" applyFont="1"/>
    <xf numFmtId="0" fontId="4" fillId="0" borderId="0" xfId="1" applyFont="1" applyFill="1" applyBorder="1" applyAlignment="1">
      <alignment horizontal="right" vertical="center" wrapText="1"/>
    </xf>
    <xf numFmtId="0" fontId="61" fillId="0" borderId="2" xfId="1" applyFont="1" applyFill="1" applyBorder="1" applyAlignment="1">
      <alignment horizontal="center" wrapText="1"/>
    </xf>
    <xf numFmtId="0" fontId="62" fillId="2" borderId="2" xfId="1" applyFont="1" applyFill="1" applyBorder="1" applyAlignment="1">
      <alignment horizontal="center" wrapText="1"/>
    </xf>
    <xf numFmtId="0" fontId="62" fillId="2" borderId="2" xfId="1" applyFont="1" applyFill="1" applyBorder="1" applyAlignment="1">
      <alignment wrapText="1"/>
    </xf>
    <xf numFmtId="164" fontId="8" fillId="2" borderId="2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horizontal="center" wrapText="1"/>
    </xf>
    <xf numFmtId="49" fontId="8" fillId="3" borderId="2" xfId="1" applyNumberFormat="1" applyFont="1" applyFill="1" applyBorder="1" applyAlignment="1">
      <alignment wrapText="1"/>
    </xf>
    <xf numFmtId="164" fontId="8" fillId="3" borderId="2" xfId="1" applyNumberFormat="1" applyFont="1" applyFill="1" applyBorder="1" applyAlignment="1">
      <alignment horizontal="center" wrapText="1"/>
    </xf>
    <xf numFmtId="49" fontId="8" fillId="4" borderId="2" xfId="1" applyNumberFormat="1" applyFont="1" applyFill="1" applyBorder="1" applyAlignment="1">
      <alignment horizontal="center" wrapText="1"/>
    </xf>
    <xf numFmtId="0" fontId="8" fillId="4" borderId="2" xfId="1" applyFont="1" applyFill="1" applyBorder="1" applyAlignment="1">
      <alignment wrapText="1"/>
    </xf>
    <xf numFmtId="164" fontId="8" fillId="4" borderId="2" xfId="1" applyNumberFormat="1" applyFont="1" applyFill="1" applyBorder="1" applyAlignment="1">
      <alignment horizontal="center" wrapText="1"/>
    </xf>
    <xf numFmtId="49" fontId="8" fillId="5" borderId="2" xfId="1" applyNumberFormat="1" applyFont="1" applyFill="1" applyBorder="1" applyAlignment="1">
      <alignment horizontal="center" wrapText="1"/>
    </xf>
    <xf numFmtId="0" fontId="8" fillId="5" borderId="2" xfId="1" applyFont="1" applyFill="1" applyBorder="1" applyAlignment="1">
      <alignment wrapText="1"/>
    </xf>
    <xf numFmtId="164" fontId="8" fillId="5" borderId="2" xfId="1" applyNumberFormat="1" applyFont="1" applyFill="1" applyBorder="1" applyAlignment="1">
      <alignment horizontal="center"/>
    </xf>
    <xf numFmtId="0" fontId="8" fillId="4" borderId="2" xfId="0" applyFont="1" applyFill="1" applyBorder="1" applyAlignment="1">
      <alignment wrapText="1"/>
    </xf>
    <xf numFmtId="49" fontId="4" fillId="5" borderId="2" xfId="1" applyNumberFormat="1" applyFont="1" applyFill="1" applyBorder="1" applyAlignment="1">
      <alignment horizontal="center" wrapText="1"/>
    </xf>
    <xf numFmtId="164" fontId="4" fillId="2" borderId="2" xfId="1" applyNumberFormat="1" applyFont="1" applyFill="1" applyBorder="1" applyAlignment="1">
      <alignment horizontal="center"/>
    </xf>
    <xf numFmtId="0" fontId="8" fillId="3" borderId="2" xfId="1" applyFont="1" applyFill="1" applyBorder="1" applyAlignment="1">
      <alignment wrapText="1"/>
    </xf>
    <xf numFmtId="164" fontId="2" fillId="0" borderId="0" xfId="1" applyNumberFormat="1" applyFont="1"/>
    <xf numFmtId="164" fontId="4" fillId="2" borderId="0" xfId="1" applyNumberFormat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center"/>
    </xf>
    <xf numFmtId="0" fontId="60" fillId="2" borderId="0" xfId="0" applyFont="1" applyFill="1"/>
    <xf numFmtId="164" fontId="60" fillId="0" borderId="0" xfId="0" applyNumberFormat="1" applyFont="1"/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wrapText="1"/>
    </xf>
    <xf numFmtId="164" fontId="4" fillId="2" borderId="2" xfId="1" applyNumberFormat="1" applyFont="1" applyFill="1" applyBorder="1" applyAlignment="1">
      <alignment horizontal="center" vertical="center" wrapText="1"/>
    </xf>
    <xf numFmtId="0" fontId="63" fillId="0" borderId="0" xfId="0" applyFont="1"/>
    <xf numFmtId="0" fontId="60" fillId="0" borderId="0" xfId="0" applyFont="1" applyAlignment="1"/>
    <xf numFmtId="49" fontId="4" fillId="4" borderId="2" xfId="1" applyNumberFormat="1" applyFont="1" applyFill="1" applyBorder="1" applyAlignment="1">
      <alignment horizontal="center" wrapText="1"/>
    </xf>
    <xf numFmtId="0" fontId="8" fillId="4" borderId="2" xfId="1" applyFont="1" applyFill="1" applyBorder="1" applyAlignment="1">
      <alignment horizontal="justify"/>
    </xf>
    <xf numFmtId="0" fontId="4" fillId="0" borderId="2" xfId="1" applyFont="1" applyBorder="1" applyAlignment="1">
      <alignment horizontal="justify"/>
    </xf>
    <xf numFmtId="164" fontId="4" fillId="0" borderId="2" xfId="1" applyNumberFormat="1" applyFont="1" applyFill="1" applyBorder="1" applyAlignment="1">
      <alignment horizontal="center" wrapText="1"/>
    </xf>
    <xf numFmtId="0" fontId="4" fillId="2" borderId="2" xfId="3" applyFont="1" applyFill="1" applyBorder="1" applyAlignment="1">
      <alignment wrapText="1"/>
    </xf>
    <xf numFmtId="0" fontId="60" fillId="3" borderId="0" xfId="0" applyFont="1" applyFill="1"/>
    <xf numFmtId="0" fontId="8" fillId="5" borderId="2" xfId="0" applyFont="1" applyFill="1" applyBorder="1" applyAlignment="1">
      <alignment wrapText="1"/>
    </xf>
    <xf numFmtId="49" fontId="8" fillId="0" borderId="2" xfId="1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2" xfId="1" applyNumberFormat="1" applyFont="1" applyFill="1" applyBorder="1" applyAlignment="1">
      <alignment horizontal="center" vertical="top" wrapText="1"/>
    </xf>
    <xf numFmtId="0" fontId="64" fillId="0" borderId="0" xfId="0" applyFont="1"/>
    <xf numFmtId="164" fontId="8" fillId="5" borderId="2" xfId="1" applyNumberFormat="1" applyFont="1" applyFill="1" applyBorder="1" applyAlignment="1">
      <alignment horizontal="center" vertical="top" wrapText="1"/>
    </xf>
    <xf numFmtId="0" fontId="63" fillId="5" borderId="0" xfId="0" applyFont="1" applyFill="1"/>
    <xf numFmtId="0" fontId="8" fillId="4" borderId="2" xfId="1" applyFont="1" applyFill="1" applyBorder="1" applyAlignment="1">
      <alignment horizontal="left" wrapText="1"/>
    </xf>
    <xf numFmtId="0" fontId="7" fillId="0" borderId="2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60" fillId="0" borderId="0" xfId="0" applyFont="1" applyBorder="1"/>
    <xf numFmtId="164" fontId="4" fillId="5" borderId="2" xfId="1" applyNumberFormat="1" applyFont="1" applyFill="1" applyBorder="1" applyAlignment="1">
      <alignment horizontal="center" wrapText="1"/>
    </xf>
    <xf numFmtId="0" fontId="60" fillId="2" borderId="0" xfId="0" applyFont="1" applyFill="1" applyBorder="1"/>
    <xf numFmtId="0" fontId="4" fillId="0" borderId="2" xfId="1" applyFont="1" applyFill="1" applyBorder="1" applyAlignment="1">
      <alignment wrapText="1"/>
    </xf>
    <xf numFmtId="49" fontId="8" fillId="0" borderId="2" xfId="1" applyNumberFormat="1" applyFont="1" applyFill="1" applyBorder="1" applyAlignment="1">
      <alignment horizontal="center" wrapText="1"/>
    </xf>
    <xf numFmtId="0" fontId="8" fillId="5" borderId="2" xfId="1" applyFont="1" applyFill="1" applyBorder="1" applyAlignment="1">
      <alignment horizontal="justify" wrapText="1"/>
    </xf>
    <xf numFmtId="0" fontId="4" fillId="0" borderId="2" xfId="1" applyFont="1" applyBorder="1" applyAlignment="1">
      <alignment horizontal="justify" wrapText="1"/>
    </xf>
    <xf numFmtId="164" fontId="8" fillId="5" borderId="2" xfId="0" applyNumberFormat="1" applyFont="1" applyFill="1" applyBorder="1" applyAlignment="1">
      <alignment horizontal="center"/>
    </xf>
    <xf numFmtId="49" fontId="4" fillId="3" borderId="2" xfId="1" applyNumberFormat="1" applyFont="1" applyFill="1" applyBorder="1" applyAlignment="1">
      <alignment horizontal="center" wrapText="1"/>
    </xf>
    <xf numFmtId="49" fontId="8" fillId="6" borderId="2" xfId="1" applyNumberFormat="1" applyFont="1" applyFill="1" applyBorder="1" applyAlignment="1">
      <alignment horizontal="center" wrapText="1"/>
    </xf>
    <xf numFmtId="0" fontId="8" fillId="6" borderId="2" xfId="1" applyFont="1" applyFill="1" applyBorder="1" applyAlignment="1">
      <alignment wrapText="1"/>
    </xf>
    <xf numFmtId="164" fontId="8" fillId="6" borderId="2" xfId="1" applyNumberFormat="1" applyFont="1" applyFill="1" applyBorder="1" applyAlignment="1">
      <alignment horizontal="center" wrapText="1"/>
    </xf>
    <xf numFmtId="49" fontId="8" fillId="7" borderId="2" xfId="1" applyNumberFormat="1" applyFont="1" applyFill="1" applyBorder="1" applyAlignment="1">
      <alignment horizontal="center" wrapText="1"/>
    </xf>
    <xf numFmtId="49" fontId="4" fillId="7" borderId="2" xfId="1" applyNumberFormat="1" applyFont="1" applyFill="1" applyBorder="1" applyAlignment="1">
      <alignment horizontal="center" wrapText="1"/>
    </xf>
    <xf numFmtId="0" fontId="8" fillId="7" borderId="2" xfId="1" applyFont="1" applyFill="1" applyBorder="1" applyAlignment="1">
      <alignment wrapText="1"/>
    </xf>
    <xf numFmtId="164" fontId="8" fillId="7" borderId="2" xfId="1" applyNumberFormat="1" applyFont="1" applyFill="1" applyBorder="1" applyAlignment="1">
      <alignment horizontal="center" wrapText="1"/>
    </xf>
    <xf numFmtId="0" fontId="4" fillId="6" borderId="2" xfId="1" applyFont="1" applyFill="1" applyBorder="1" applyAlignment="1">
      <alignment horizontal="center" wrapText="1"/>
    </xf>
    <xf numFmtId="164" fontId="8" fillId="6" borderId="2" xfId="1" applyNumberFormat="1" applyFont="1" applyFill="1" applyBorder="1" applyAlignment="1">
      <alignment horizontal="center"/>
    </xf>
    <xf numFmtId="0" fontId="2" fillId="0" borderId="0" xfId="1" applyFont="1"/>
    <xf numFmtId="0" fontId="4" fillId="2" borderId="2" xfId="2" applyNumberFormat="1" applyFont="1" applyFill="1" applyBorder="1" applyAlignment="1">
      <alignment horizontal="left" vertical="top" wrapText="1"/>
    </xf>
    <xf numFmtId="49" fontId="8" fillId="5" borderId="2" xfId="1" applyNumberFormat="1" applyFont="1" applyFill="1" applyBorder="1" applyAlignment="1">
      <alignment horizontal="left" wrapText="1"/>
    </xf>
    <xf numFmtId="2" fontId="8" fillId="5" borderId="2" xfId="1" applyNumberFormat="1" applyFont="1" applyFill="1" applyBorder="1" applyAlignment="1">
      <alignment horizontal="center" wrapText="1"/>
    </xf>
    <xf numFmtId="49" fontId="5" fillId="0" borderId="2" xfId="1" applyNumberFormat="1" applyFont="1" applyFill="1" applyBorder="1" applyAlignment="1">
      <alignment horizontal="center" wrapText="1"/>
    </xf>
    <xf numFmtId="0" fontId="4" fillId="2" borderId="2" xfId="1" applyFont="1" applyFill="1" applyBorder="1" applyAlignment="1">
      <alignment horizontal="justify" wrapText="1"/>
    </xf>
    <xf numFmtId="0" fontId="4" fillId="2" borderId="0" xfId="1" applyFont="1" applyFill="1" applyAlignment="1">
      <alignment horizontal="right" vertical="center" wrapText="1"/>
    </xf>
    <xf numFmtId="0" fontId="4" fillId="2" borderId="2" xfId="1" applyFont="1" applyFill="1" applyBorder="1" applyAlignment="1">
      <alignment horizontal="center" vertical="top" wrapText="1"/>
    </xf>
    <xf numFmtId="0" fontId="60" fillId="0" borderId="2" xfId="0" applyFont="1" applyBorder="1"/>
    <xf numFmtId="0" fontId="60" fillId="2" borderId="2" xfId="0" applyFont="1" applyFill="1" applyBorder="1"/>
    <xf numFmtId="0" fontId="8" fillId="6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center" vertical="top" wrapText="1"/>
    </xf>
    <xf numFmtId="0" fontId="8" fillId="2" borderId="2" xfId="1" applyNumberFormat="1" applyFont="1" applyFill="1" applyBorder="1" applyAlignment="1">
      <alignment horizontal="center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wrapText="1"/>
    </xf>
    <xf numFmtId="0" fontId="63" fillId="0" borderId="2" xfId="0" applyFont="1" applyBorder="1"/>
    <xf numFmtId="49" fontId="65" fillId="2" borderId="2" xfId="1" applyNumberFormat="1" applyFont="1" applyFill="1" applyBorder="1" applyAlignment="1">
      <alignment horizontal="center" wrapText="1"/>
    </xf>
    <xf numFmtId="0" fontId="65" fillId="2" borderId="2" xfId="1" applyFont="1" applyFill="1" applyBorder="1" applyAlignment="1">
      <alignment wrapText="1"/>
    </xf>
    <xf numFmtId="0" fontId="8" fillId="2" borderId="2" xfId="1" applyFont="1" applyFill="1" applyBorder="1" applyAlignment="1">
      <alignment horizontal="left" vertical="top" wrapText="1"/>
    </xf>
    <xf numFmtId="0" fontId="4" fillId="2" borderId="2" xfId="1" applyNumberFormat="1" applyFont="1" applyFill="1" applyBorder="1" applyAlignment="1">
      <alignment horizontal="center" vertical="top" wrapText="1"/>
    </xf>
    <xf numFmtId="164" fontId="8" fillId="2" borderId="2" xfId="1" applyNumberFormat="1" applyFont="1" applyFill="1" applyBorder="1" applyAlignment="1">
      <alignment horizontal="center"/>
    </xf>
    <xf numFmtId="168" fontId="8" fillId="4" borderId="2" xfId="1" applyNumberFormat="1" applyFont="1" applyFill="1" applyBorder="1" applyAlignment="1">
      <alignment horizontal="center" wrapText="1"/>
    </xf>
    <xf numFmtId="168" fontId="8" fillId="5" borderId="2" xfId="1" applyNumberFormat="1" applyFont="1" applyFill="1" applyBorder="1" applyAlignment="1">
      <alignment horizontal="center" wrapText="1"/>
    </xf>
    <xf numFmtId="0" fontId="8" fillId="2" borderId="2" xfId="1" applyFont="1" applyFill="1" applyBorder="1" applyAlignment="1">
      <alignment horizontal="center" wrapText="1"/>
    </xf>
    <xf numFmtId="168" fontId="8" fillId="2" borderId="2" xfId="1" applyNumberFormat="1" applyFont="1" applyFill="1" applyBorder="1" applyAlignment="1">
      <alignment horizontal="center" wrapText="1"/>
    </xf>
    <xf numFmtId="0" fontId="8" fillId="66" borderId="2" xfId="1" applyFont="1" applyFill="1" applyBorder="1" applyAlignment="1">
      <alignment horizontal="center" vertical="top" wrapText="1"/>
    </xf>
    <xf numFmtId="49" fontId="8" fillId="66" borderId="2" xfId="1" applyNumberFormat="1" applyFont="1" applyFill="1" applyBorder="1" applyAlignment="1">
      <alignment horizontal="center" vertical="top" wrapText="1"/>
    </xf>
    <xf numFmtId="0" fontId="8" fillId="66" borderId="2" xfId="1" applyNumberFormat="1" applyFont="1" applyFill="1" applyBorder="1" applyAlignment="1">
      <alignment horizontal="center" vertical="top" wrapText="1"/>
    </xf>
    <xf numFmtId="0" fontId="8" fillId="66" borderId="2" xfId="1" applyFont="1" applyFill="1" applyBorder="1" applyAlignment="1">
      <alignment vertical="top" wrapText="1"/>
    </xf>
    <xf numFmtId="0" fontId="8" fillId="67" borderId="2" xfId="1" applyFont="1" applyFill="1" applyBorder="1" applyAlignment="1">
      <alignment horizontal="center" vertical="top" wrapText="1"/>
    </xf>
    <xf numFmtId="49" fontId="8" fillId="67" borderId="2" xfId="1" applyNumberFormat="1" applyFont="1" applyFill="1" applyBorder="1" applyAlignment="1">
      <alignment horizontal="center" vertical="top" wrapText="1"/>
    </xf>
    <xf numFmtId="0" fontId="8" fillId="67" borderId="2" xfId="1" applyNumberFormat="1" applyFont="1" applyFill="1" applyBorder="1" applyAlignment="1">
      <alignment horizontal="center" vertical="top" wrapText="1"/>
    </xf>
    <xf numFmtId="0" fontId="8" fillId="67" borderId="2" xfId="1" applyFont="1" applyFill="1" applyBorder="1" applyAlignment="1">
      <alignment vertical="top" wrapText="1"/>
    </xf>
    <xf numFmtId="0" fontId="8" fillId="68" borderId="2" xfId="1" applyFont="1" applyFill="1" applyBorder="1" applyAlignment="1">
      <alignment horizontal="center" vertical="top" wrapText="1"/>
    </xf>
    <xf numFmtId="49" fontId="8" fillId="68" borderId="2" xfId="1" applyNumberFormat="1" applyFont="1" applyFill="1" applyBorder="1" applyAlignment="1">
      <alignment horizontal="center" vertical="top" wrapText="1"/>
    </xf>
    <xf numFmtId="0" fontId="8" fillId="68" borderId="2" xfId="1" applyNumberFormat="1" applyFont="1" applyFill="1" applyBorder="1" applyAlignment="1">
      <alignment horizontal="center" vertical="top" wrapText="1"/>
    </xf>
    <xf numFmtId="0" fontId="8" fillId="68" borderId="2" xfId="1" applyFont="1" applyFill="1" applyBorder="1" applyAlignment="1">
      <alignment horizontal="left" vertical="top" wrapText="1"/>
    </xf>
    <xf numFmtId="168" fontId="8" fillId="66" borderId="2" xfId="1" applyNumberFormat="1" applyFont="1" applyFill="1" applyBorder="1" applyAlignment="1">
      <alignment horizontal="center" vertical="top" wrapText="1"/>
    </xf>
    <xf numFmtId="168" fontId="8" fillId="67" borderId="2" xfId="1" applyNumberFormat="1" applyFont="1" applyFill="1" applyBorder="1" applyAlignment="1">
      <alignment horizontal="center" vertical="top" wrapText="1"/>
    </xf>
    <xf numFmtId="168" fontId="8" fillId="68" borderId="2" xfId="1" applyNumberFormat="1" applyFont="1" applyFill="1" applyBorder="1" applyAlignment="1">
      <alignment horizontal="center" vertical="top" wrapText="1"/>
    </xf>
    <xf numFmtId="0" fontId="66" fillId="0" borderId="0" xfId="0" applyFont="1"/>
    <xf numFmtId="164" fontId="8" fillId="0" borderId="2" xfId="1" applyNumberFormat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164" fontId="8" fillId="66" borderId="2" xfId="1" applyNumberFormat="1" applyFont="1" applyFill="1" applyBorder="1" applyAlignment="1">
      <alignment horizontal="center" vertical="top" wrapText="1"/>
    </xf>
    <xf numFmtId="164" fontId="8" fillId="67" borderId="2" xfId="1" applyNumberFormat="1" applyFont="1" applyFill="1" applyBorder="1" applyAlignment="1">
      <alignment horizontal="center" vertical="top" wrapText="1"/>
    </xf>
    <xf numFmtId="164" fontId="8" fillId="68" borderId="2" xfId="1" applyNumberFormat="1" applyFont="1" applyFill="1" applyBorder="1" applyAlignment="1">
      <alignment horizontal="center" vertical="top" wrapText="1"/>
    </xf>
    <xf numFmtId="49" fontId="8" fillId="6" borderId="2" xfId="1" applyNumberFormat="1" applyFont="1" applyFill="1" applyBorder="1" applyAlignment="1">
      <alignment horizontal="center" vertical="top" wrapText="1"/>
    </xf>
    <xf numFmtId="0" fontId="8" fillId="6" borderId="2" xfId="1" applyNumberFormat="1" applyFont="1" applyFill="1" applyBorder="1" applyAlignment="1">
      <alignment horizontal="center" vertical="top" wrapText="1"/>
    </xf>
    <xf numFmtId="0" fontId="4" fillId="66" borderId="2" xfId="1" applyFont="1" applyFill="1" applyBorder="1" applyAlignment="1">
      <alignment horizontal="center" vertical="top" wrapText="1"/>
    </xf>
    <xf numFmtId="164" fontId="8" fillId="6" borderId="2" xfId="1" applyNumberFormat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0" fontId="63" fillId="2" borderId="2" xfId="0" applyFont="1" applyFill="1" applyBorder="1"/>
    <xf numFmtId="164" fontId="8" fillId="0" borderId="2" xfId="1" applyNumberFormat="1" applyFont="1" applyFill="1" applyBorder="1" applyAlignment="1">
      <alignment horizontal="center" vertical="top" wrapText="1"/>
    </xf>
    <xf numFmtId="0" fontId="68" fillId="2" borderId="0" xfId="1" applyFont="1" applyFill="1" applyAlignment="1">
      <alignment vertical="center" wrapText="1"/>
    </xf>
    <xf numFmtId="0" fontId="69" fillId="2" borderId="0" xfId="1" applyFont="1" applyFill="1" applyAlignment="1">
      <alignment horizontal="right" vertical="center"/>
    </xf>
    <xf numFmtId="0" fontId="68" fillId="0" borderId="0" xfId="1" applyFont="1" applyAlignment="1"/>
    <xf numFmtId="0" fontId="4" fillId="0" borderId="0" xfId="1" applyFont="1" applyFill="1" applyBorder="1" applyAlignment="1">
      <alignment vertical="center"/>
    </xf>
    <xf numFmtId="0" fontId="59" fillId="2" borderId="0" xfId="1" applyFont="1" applyFill="1" applyAlignment="1">
      <alignment vertical="center"/>
    </xf>
    <xf numFmtId="0" fontId="72" fillId="0" borderId="0" xfId="0" applyFont="1"/>
    <xf numFmtId="0" fontId="72" fillId="0" borderId="0" xfId="0" applyFont="1" applyAlignment="1">
      <alignment horizontal="right"/>
    </xf>
    <xf numFmtId="0" fontId="73" fillId="0" borderId="1" xfId="0" applyFont="1" applyBorder="1" applyAlignment="1">
      <alignment horizontal="center" wrapText="1"/>
    </xf>
    <xf numFmtId="0" fontId="74" fillId="0" borderId="2" xfId="0" applyFont="1" applyBorder="1" applyAlignment="1">
      <alignment horizontal="center" vertical="center" wrapText="1"/>
    </xf>
    <xf numFmtId="0" fontId="72" fillId="0" borderId="2" xfId="0" applyFont="1" applyBorder="1" applyAlignment="1">
      <alignment vertical="top" wrapText="1"/>
    </xf>
    <xf numFmtId="0" fontId="73" fillId="0" borderId="2" xfId="0" applyFont="1" applyBorder="1"/>
    <xf numFmtId="0" fontId="68" fillId="0" borderId="0" xfId="0" applyFont="1" applyAlignment="1"/>
    <xf numFmtId="0" fontId="72" fillId="0" borderId="2" xfId="0" applyFont="1" applyBorder="1" applyAlignment="1">
      <alignment vertical="top"/>
    </xf>
    <xf numFmtId="168" fontId="75" fillId="0" borderId="2" xfId="0" applyNumberFormat="1" applyFont="1" applyBorder="1" applyAlignment="1">
      <alignment vertical="center"/>
    </xf>
    <xf numFmtId="168" fontId="72" fillId="0" borderId="2" xfId="0" applyNumberFormat="1" applyFont="1" applyBorder="1" applyAlignment="1">
      <alignment vertical="center"/>
    </xf>
    <xf numFmtId="0" fontId="72" fillId="0" borderId="2" xfId="0" applyFont="1" applyBorder="1" applyAlignment="1">
      <alignment vertical="center"/>
    </xf>
    <xf numFmtId="168" fontId="75" fillId="0" borderId="0" xfId="0" applyNumberFormat="1" applyFont="1" applyAlignment="1">
      <alignment vertical="center"/>
    </xf>
    <xf numFmtId="168" fontId="73" fillId="0" borderId="2" xfId="0" applyNumberFormat="1" applyFont="1" applyBorder="1" applyAlignment="1">
      <alignment vertical="center"/>
    </xf>
    <xf numFmtId="0" fontId="76" fillId="0" borderId="1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 vertical="center" wrapText="1"/>
    </xf>
    <xf numFmtId="0" fontId="74" fillId="0" borderId="23" xfId="0" applyFont="1" applyBorder="1" applyAlignment="1">
      <alignment horizontal="center" vertical="center" wrapText="1"/>
    </xf>
    <xf numFmtId="0" fontId="74" fillId="69" borderId="2" xfId="0" applyFont="1" applyFill="1" applyBorder="1" applyAlignment="1">
      <alignment horizontal="center" vertical="top" wrapText="1"/>
    </xf>
    <xf numFmtId="0" fontId="74" fillId="69" borderId="2" xfId="0" applyFont="1" applyFill="1" applyBorder="1" applyAlignment="1">
      <alignment vertical="top" wrapText="1"/>
    </xf>
    <xf numFmtId="4" fontId="74" fillId="69" borderId="2" xfId="0" applyNumberFormat="1" applyFont="1" applyFill="1" applyBorder="1" applyAlignment="1">
      <alignment horizontal="center" vertical="center" wrapText="1"/>
    </xf>
    <xf numFmtId="0" fontId="74" fillId="5" borderId="2" xfId="0" applyFont="1" applyFill="1" applyBorder="1" applyAlignment="1">
      <alignment horizontal="center" vertical="top" wrapText="1"/>
    </xf>
    <xf numFmtId="0" fontId="74" fillId="5" borderId="2" xfId="0" applyFont="1" applyFill="1" applyBorder="1" applyAlignment="1">
      <alignment vertical="top" wrapText="1"/>
    </xf>
    <xf numFmtId="4" fontId="74" fillId="5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59" fillId="6" borderId="2" xfId="0" applyFont="1" applyFill="1" applyBorder="1" applyAlignment="1">
      <alignment horizontal="center" vertical="top" wrapText="1"/>
    </xf>
    <xf numFmtId="0" fontId="59" fillId="6" borderId="2" xfId="0" applyFont="1" applyFill="1" applyBorder="1" applyAlignment="1">
      <alignment vertical="top" wrapText="1"/>
    </xf>
    <xf numFmtId="4" fontId="59" fillId="6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59" fillId="2" borderId="2" xfId="0" applyFont="1" applyFill="1" applyBorder="1" applyAlignment="1">
      <alignment horizontal="center" vertical="top" wrapText="1"/>
    </xf>
    <xf numFmtId="0" fontId="59" fillId="2" borderId="2" xfId="0" applyFont="1" applyFill="1" applyBorder="1" applyAlignment="1">
      <alignment vertical="top" wrapText="1"/>
    </xf>
    <xf numFmtId="4" fontId="5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9" fillId="6" borderId="2" xfId="0" applyFont="1" applyFill="1" applyBorder="1" applyAlignment="1">
      <alignment vertical="justify" wrapText="1"/>
    </xf>
    <xf numFmtId="49" fontId="59" fillId="2" borderId="2" xfId="0" applyNumberFormat="1" applyFont="1" applyFill="1" applyBorder="1" applyAlignment="1">
      <alignment vertical="justify" wrapText="1"/>
    </xf>
    <xf numFmtId="4" fontId="59" fillId="0" borderId="2" xfId="0" applyNumberFormat="1" applyFont="1" applyBorder="1" applyAlignment="1">
      <alignment horizontal="center" vertical="center" wrapText="1"/>
    </xf>
    <xf numFmtId="0" fontId="59" fillId="2" borderId="2" xfId="0" applyFont="1" applyFill="1" applyBorder="1" applyAlignment="1">
      <alignment vertical="justify" wrapText="1"/>
    </xf>
    <xf numFmtId="0" fontId="59" fillId="0" borderId="2" xfId="0" applyFont="1" applyFill="1" applyBorder="1" applyAlignment="1">
      <alignment horizontal="center" vertical="top" wrapText="1"/>
    </xf>
    <xf numFmtId="0" fontId="59" fillId="0" borderId="2" xfId="0" applyFont="1" applyFill="1" applyBorder="1" applyAlignment="1">
      <alignment vertical="justify" wrapText="1"/>
    </xf>
    <xf numFmtId="4" fontId="5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7" fillId="0" borderId="2" xfId="0" applyFont="1" applyBorder="1" applyAlignment="1">
      <alignment horizontal="center" vertical="top" wrapText="1"/>
    </xf>
    <xf numFmtId="0" fontId="78" fillId="0" borderId="0" xfId="0" applyFont="1" applyAlignment="1">
      <alignment wrapText="1"/>
    </xf>
    <xf numFmtId="4" fontId="78" fillId="2" borderId="2" xfId="0" applyNumberFormat="1" applyFont="1" applyFill="1" applyBorder="1" applyAlignment="1">
      <alignment horizontal="center" vertical="center" wrapText="1"/>
    </xf>
    <xf numFmtId="0" fontId="79" fillId="0" borderId="0" xfId="0" applyFont="1"/>
    <xf numFmtId="0" fontId="78" fillId="0" borderId="2" xfId="0" applyFont="1" applyBorder="1" applyAlignment="1">
      <alignment horizontal="center" vertical="top" wrapText="1"/>
    </xf>
    <xf numFmtId="0" fontId="80" fillId="0" borderId="2" xfId="0" applyFont="1" applyBorder="1" applyAlignment="1">
      <alignment wrapText="1"/>
    </xf>
    <xf numFmtId="4" fontId="78" fillId="0" borderId="2" xfId="0" applyNumberFormat="1" applyFont="1" applyBorder="1" applyAlignment="1">
      <alignment horizontal="center" vertical="center" wrapText="1"/>
    </xf>
    <xf numFmtId="0" fontId="81" fillId="0" borderId="0" xfId="0" applyFont="1"/>
    <xf numFmtId="0" fontId="78" fillId="0" borderId="2" xfId="0" applyFont="1" applyFill="1" applyBorder="1" applyAlignment="1">
      <alignment horizontal="center" vertical="top" wrapText="1"/>
    </xf>
    <xf numFmtId="0" fontId="78" fillId="2" borderId="2" xfId="0" applyFont="1" applyFill="1" applyBorder="1" applyAlignment="1">
      <alignment vertical="top" wrapText="1"/>
    </xf>
    <xf numFmtId="4" fontId="78" fillId="0" borderId="2" xfId="0" applyNumberFormat="1" applyFont="1" applyFill="1" applyBorder="1" applyAlignment="1">
      <alignment horizontal="center" vertical="center" wrapText="1"/>
    </xf>
    <xf numFmtId="4" fontId="81" fillId="0" borderId="0" xfId="0" applyNumberFormat="1" applyFont="1" applyFill="1"/>
    <xf numFmtId="0" fontId="81" fillId="0" borderId="0" xfId="0" applyFont="1" applyFill="1"/>
    <xf numFmtId="0" fontId="59" fillId="0" borderId="2" xfId="0" applyFont="1" applyBorder="1" applyAlignment="1">
      <alignment horizontal="center" vertical="top" wrapText="1"/>
    </xf>
    <xf numFmtId="0" fontId="59" fillId="0" borderId="2" xfId="0" applyFont="1" applyBorder="1" applyAlignment="1">
      <alignment vertical="justify" wrapText="1"/>
    </xf>
    <xf numFmtId="0" fontId="78" fillId="2" borderId="2" xfId="0" applyFont="1" applyFill="1" applyBorder="1" applyAlignment="1">
      <alignment vertical="justify" wrapText="1"/>
    </xf>
    <xf numFmtId="4" fontId="81" fillId="0" borderId="0" xfId="0" applyNumberFormat="1" applyFont="1"/>
    <xf numFmtId="4" fontId="0" fillId="6" borderId="2" xfId="0" applyNumberFormat="1" applyFill="1" applyBorder="1" applyAlignment="1">
      <alignment horizontal="center" vertical="center"/>
    </xf>
    <xf numFmtId="0" fontId="82" fillId="0" borderId="0" xfId="0" applyFont="1"/>
    <xf numFmtId="4" fontId="0" fillId="2" borderId="2" xfId="0" applyNumberFormat="1" applyFill="1" applyBorder="1" applyAlignment="1">
      <alignment horizontal="center" vertical="center"/>
    </xf>
    <xf numFmtId="4" fontId="67" fillId="5" borderId="2" xfId="0" applyNumberFormat="1" applyFont="1" applyFill="1" applyBorder="1" applyAlignment="1">
      <alignment horizontal="center" vertical="center"/>
    </xf>
    <xf numFmtId="4" fontId="74" fillId="6" borderId="2" xfId="0" applyNumberFormat="1" applyFont="1" applyFill="1" applyBorder="1" applyAlignment="1">
      <alignment horizontal="center" vertical="center" wrapText="1"/>
    </xf>
    <xf numFmtId="4" fontId="67" fillId="6" borderId="2" xfId="0" applyNumberFormat="1" applyFon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70" fillId="0" borderId="2" xfId="0" applyNumberFormat="1" applyFont="1" applyBorder="1" applyAlignment="1">
      <alignment horizontal="center" vertical="center"/>
    </xf>
    <xf numFmtId="0" fontId="78" fillId="0" borderId="2" xfId="0" applyFont="1" applyBorder="1" applyAlignment="1">
      <alignment vertical="justify" wrapText="1"/>
    </xf>
    <xf numFmtId="4" fontId="81" fillId="0" borderId="2" xfId="0" applyNumberFormat="1" applyFont="1" applyBorder="1" applyAlignment="1">
      <alignment horizontal="center" vertical="center"/>
    </xf>
    <xf numFmtId="4" fontId="83" fillId="0" borderId="2" xfId="0" applyNumberFormat="1" applyFont="1" applyBorder="1" applyAlignment="1">
      <alignment horizontal="center" vertical="center"/>
    </xf>
    <xf numFmtId="0" fontId="0" fillId="0" borderId="0" xfId="0" applyBorder="1"/>
    <xf numFmtId="0" fontId="59" fillId="0" borderId="0" xfId="0" applyFont="1" applyBorder="1" applyAlignment="1">
      <alignment vertical="justify" wrapText="1"/>
    </xf>
    <xf numFmtId="164" fontId="59" fillId="0" borderId="0" xfId="0" applyNumberFormat="1" applyFont="1" applyBorder="1" applyAlignment="1">
      <alignment horizontal="center" vertical="center" wrapText="1"/>
    </xf>
    <xf numFmtId="0" fontId="70" fillId="0" borderId="0" xfId="0" applyFont="1"/>
    <xf numFmtId="0" fontId="4" fillId="2" borderId="0" xfId="1" applyFont="1" applyFill="1" applyAlignment="1">
      <alignment vertical="center" wrapText="1"/>
    </xf>
    <xf numFmtId="0" fontId="70" fillId="0" borderId="0" xfId="0" applyFont="1" applyAlignment="1"/>
    <xf numFmtId="0" fontId="70" fillId="0" borderId="0" xfId="0" applyFont="1" applyAlignment="1">
      <alignment horizontal="center"/>
    </xf>
    <xf numFmtId="0" fontId="70" fillId="0" borderId="2" xfId="0" applyFont="1" applyBorder="1" applyAlignment="1">
      <alignment horizontal="center"/>
    </xf>
    <xf numFmtId="0" fontId="83" fillId="0" borderId="2" xfId="0" applyFont="1" applyBorder="1" applyAlignment="1">
      <alignment horizontal="center"/>
    </xf>
    <xf numFmtId="0" fontId="83" fillId="0" borderId="2" xfId="0" applyFont="1" applyBorder="1" applyAlignment="1">
      <alignment horizontal="center" vertical="center" wrapText="1"/>
    </xf>
    <xf numFmtId="0" fontId="70" fillId="0" borderId="2" xfId="0" applyFont="1" applyBorder="1" applyAlignment="1">
      <alignment horizontal="center" vertical="center" wrapText="1"/>
    </xf>
    <xf numFmtId="0" fontId="84" fillId="0" borderId="2" xfId="0" applyFont="1" applyBorder="1" applyAlignment="1">
      <alignment horizontal="center"/>
    </xf>
    <xf numFmtId="0" fontId="84" fillId="0" borderId="2" xfId="0" applyFont="1" applyBorder="1" applyAlignment="1">
      <alignment horizontal="center" wrapText="1"/>
    </xf>
    <xf numFmtId="0" fontId="84" fillId="0" borderId="2" xfId="0" applyFont="1" applyBorder="1" applyAlignment="1">
      <alignment horizontal="center" vertical="center" wrapText="1"/>
    </xf>
    <xf numFmtId="0" fontId="2" fillId="0" borderId="0" xfId="534" applyFill="1"/>
    <xf numFmtId="0" fontId="59" fillId="0" borderId="0" xfId="534" applyFont="1" applyFill="1"/>
    <xf numFmtId="0" fontId="85" fillId="0" borderId="0" xfId="534" applyFont="1" applyFill="1" applyAlignment="1">
      <alignment horizontal="center"/>
    </xf>
    <xf numFmtId="0" fontId="4" fillId="0" borderId="0" xfId="534" applyFont="1" applyFill="1"/>
    <xf numFmtId="0" fontId="86" fillId="0" borderId="2" xfId="534" applyFont="1" applyFill="1" applyBorder="1" applyAlignment="1">
      <alignment horizontal="center" vertical="top" wrapText="1"/>
    </xf>
    <xf numFmtId="0" fontId="86" fillId="0" borderId="2" xfId="534" applyFont="1" applyFill="1" applyBorder="1" applyAlignment="1">
      <alignment horizontal="justify" vertical="top" wrapText="1"/>
    </xf>
    <xf numFmtId="0" fontId="2" fillId="0" borderId="2" xfId="534" applyFill="1" applyBorder="1"/>
    <xf numFmtId="0" fontId="4" fillId="0" borderId="0" xfId="534" applyFont="1" applyFill="1" applyAlignment="1">
      <alignment horizontal="right"/>
    </xf>
    <xf numFmtId="0" fontId="59" fillId="0" borderId="0" xfId="534" applyFont="1" applyFill="1" applyAlignment="1">
      <alignment horizontal="right"/>
    </xf>
    <xf numFmtId="0" fontId="86" fillId="0" borderId="2" xfId="534" applyFont="1" applyFill="1" applyBorder="1" applyAlignment="1">
      <alignment horizontal="center" vertical="center" wrapText="1"/>
    </xf>
    <xf numFmtId="0" fontId="4" fillId="0" borderId="0" xfId="534" applyFont="1" applyFill="1" applyAlignment="1">
      <alignment horizontal="justify"/>
    </xf>
    <xf numFmtId="0" fontId="86" fillId="0" borderId="2" xfId="534" applyFont="1" applyFill="1" applyBorder="1" applyAlignment="1">
      <alignment vertical="top" wrapText="1"/>
    </xf>
    <xf numFmtId="0" fontId="88" fillId="0" borderId="0" xfId="534" applyFont="1" applyFill="1" applyAlignment="1">
      <alignment horizontal="right"/>
    </xf>
    <xf numFmtId="0" fontId="90" fillId="0" borderId="2" xfId="534" applyFont="1" applyFill="1" applyBorder="1" applyAlignment="1">
      <alignment horizontal="center" wrapText="1"/>
    </xf>
    <xf numFmtId="0" fontId="90" fillId="0" borderId="2" xfId="534" applyFont="1" applyFill="1" applyBorder="1" applyAlignment="1">
      <alignment horizontal="left" vertical="center" wrapText="1"/>
    </xf>
    <xf numFmtId="0" fontId="90" fillId="0" borderId="2" xfId="534" applyFont="1" applyFill="1" applyBorder="1" applyAlignment="1">
      <alignment horizontal="center" vertical="center" wrapText="1"/>
    </xf>
    <xf numFmtId="0" fontId="59" fillId="0" borderId="24" xfId="534" applyFont="1" applyFill="1" applyBorder="1" applyAlignment="1">
      <alignment horizontal="center" vertical="top" wrapText="1"/>
    </xf>
    <xf numFmtId="0" fontId="59" fillId="0" borderId="2" xfId="534" applyFont="1" applyFill="1" applyBorder="1" applyAlignment="1">
      <alignment horizontal="justify" vertical="top" wrapText="1"/>
    </xf>
    <xf numFmtId="0" fontId="59" fillId="0" borderId="2" xfId="534" applyFont="1" applyFill="1" applyBorder="1" applyAlignment="1">
      <alignment horizontal="center" vertical="top" wrapText="1"/>
    </xf>
    <xf numFmtId="0" fontId="88" fillId="0" borderId="24" xfId="534" applyFont="1" applyFill="1" applyBorder="1" applyAlignment="1">
      <alignment horizontal="center" vertical="top" wrapText="1"/>
    </xf>
    <xf numFmtId="0" fontId="90" fillId="0" borderId="2" xfId="534" applyFont="1" applyFill="1" applyBorder="1" applyAlignment="1">
      <alignment horizontal="justify" vertical="top" wrapText="1"/>
    </xf>
    <xf numFmtId="0" fontId="90" fillId="0" borderId="2" xfId="534" applyFont="1" applyFill="1" applyBorder="1" applyAlignment="1">
      <alignment horizontal="center" vertical="top" wrapText="1"/>
    </xf>
    <xf numFmtId="0" fontId="88" fillId="0" borderId="0" xfId="534" applyFont="1" applyFill="1" applyAlignment="1">
      <alignment horizontal="justify"/>
    </xf>
    <xf numFmtId="0" fontId="91" fillId="0" borderId="0" xfId="388" applyNumberFormat="1" applyFont="1" applyFill="1" applyBorder="1" applyAlignment="1">
      <alignment horizontal="right" vertical="center"/>
    </xf>
    <xf numFmtId="0" fontId="92" fillId="0" borderId="0" xfId="388" applyNumberFormat="1" applyFont="1" applyFill="1" applyBorder="1" applyAlignment="1">
      <alignment horizontal="right" vertical="center"/>
    </xf>
    <xf numFmtId="0" fontId="8" fillId="0" borderId="0" xfId="388" applyFont="1" applyAlignment="1">
      <alignment horizontal="left"/>
    </xf>
    <xf numFmtId="0" fontId="92" fillId="0" borderId="0" xfId="388" applyFont="1" applyAlignment="1"/>
    <xf numFmtId="0" fontId="4" fillId="2" borderId="0" xfId="1" applyFont="1" applyFill="1" applyAlignment="1">
      <alignment horizontal="left" vertical="center" wrapText="1"/>
    </xf>
    <xf numFmtId="0" fontId="91" fillId="0" borderId="0" xfId="388" applyNumberFormat="1" applyFont="1" applyFill="1" applyBorder="1" applyAlignment="1">
      <alignment vertical="center"/>
    </xf>
    <xf numFmtId="0" fontId="4" fillId="0" borderId="0" xfId="1" applyFont="1" applyAlignment="1">
      <alignment horizontal="left"/>
    </xf>
    <xf numFmtId="0" fontId="93" fillId="0" borderId="0" xfId="388" applyNumberFormat="1" applyFont="1" applyFill="1" applyBorder="1" applyAlignment="1">
      <alignment horizontal="center" vertical="center" wrapText="1"/>
    </xf>
    <xf numFmtId="0" fontId="51" fillId="0" borderId="0" xfId="388"/>
    <xf numFmtId="169" fontId="94" fillId="0" borderId="0" xfId="388" applyNumberFormat="1" applyFont="1" applyFill="1" applyBorder="1" applyAlignment="1">
      <alignment horizontal="right" vertical="center" wrapText="1"/>
    </xf>
    <xf numFmtId="0" fontId="92" fillId="0" borderId="0" xfId="388" applyFont="1" applyBorder="1" applyAlignment="1">
      <alignment horizontal="center" vertical="center"/>
    </xf>
    <xf numFmtId="0" fontId="92" fillId="0" borderId="0" xfId="388" applyFont="1" applyBorder="1" applyAlignment="1">
      <alignment horizontal="center" vertical="center" wrapText="1"/>
    </xf>
    <xf numFmtId="49" fontId="97" fillId="0" borderId="2" xfId="388" applyNumberFormat="1" applyFont="1" applyFill="1" applyBorder="1" applyAlignment="1">
      <alignment horizontal="center" vertical="center"/>
    </xf>
    <xf numFmtId="0" fontId="98" fillId="0" borderId="2" xfId="388" applyFont="1" applyBorder="1" applyAlignment="1">
      <alignment horizontal="center"/>
    </xf>
    <xf numFmtId="0" fontId="98" fillId="0" borderId="23" xfId="388" applyFont="1" applyBorder="1" applyAlignment="1">
      <alignment horizontal="center"/>
    </xf>
    <xf numFmtId="0" fontId="98" fillId="0" borderId="0" xfId="388" applyFont="1" applyBorder="1" applyAlignment="1">
      <alignment horizontal="center"/>
    </xf>
    <xf numFmtId="49" fontId="85" fillId="6" borderId="2" xfId="388" applyNumberFormat="1" applyFont="1" applyFill="1" applyBorder="1" applyAlignment="1">
      <alignment horizontal="center" vertical="center" wrapText="1"/>
    </xf>
    <xf numFmtId="169" fontId="93" fillId="6" borderId="2" xfId="388" applyNumberFormat="1" applyFont="1" applyFill="1" applyBorder="1" applyAlignment="1">
      <alignment horizontal="justify" vertical="center" wrapText="1"/>
    </xf>
    <xf numFmtId="164" fontId="93" fillId="6" borderId="2" xfId="388" applyNumberFormat="1" applyFont="1" applyFill="1" applyBorder="1" applyAlignment="1">
      <alignment horizontal="center" vertical="center" wrapText="1"/>
    </xf>
    <xf numFmtId="164" fontId="93" fillId="6" borderId="23" xfId="388" applyNumberFormat="1" applyFont="1" applyFill="1" applyBorder="1" applyAlignment="1">
      <alignment horizontal="center" vertical="center" wrapText="1"/>
    </xf>
    <xf numFmtId="164" fontId="93" fillId="6" borderId="0" xfId="388" applyNumberFormat="1" applyFont="1" applyFill="1" applyBorder="1" applyAlignment="1">
      <alignment horizontal="right" wrapText="1"/>
    </xf>
    <xf numFmtId="49" fontId="99" fillId="69" borderId="2" xfId="388" applyNumberFormat="1" applyFont="1" applyFill="1" applyBorder="1" applyAlignment="1">
      <alignment horizontal="center" vertical="center" wrapText="1"/>
    </xf>
    <xf numFmtId="169" fontId="99" fillId="69" borderId="2" xfId="388" applyNumberFormat="1" applyFont="1" applyFill="1" applyBorder="1" applyAlignment="1">
      <alignment horizontal="justify" vertical="center" wrapText="1"/>
    </xf>
    <xf numFmtId="164" fontId="99" fillId="69" borderId="2" xfId="388" applyNumberFormat="1" applyFont="1" applyFill="1" applyBorder="1" applyAlignment="1">
      <alignment horizontal="center" vertical="center" wrapText="1"/>
    </xf>
    <xf numFmtId="164" fontId="99" fillId="69" borderId="23" xfId="388" applyNumberFormat="1" applyFont="1" applyFill="1" applyBorder="1" applyAlignment="1">
      <alignment horizontal="center" vertical="center" wrapText="1"/>
    </xf>
    <xf numFmtId="164" fontId="99" fillId="69" borderId="0" xfId="388" applyNumberFormat="1" applyFont="1" applyFill="1" applyBorder="1" applyAlignment="1">
      <alignment horizontal="right" wrapText="1"/>
    </xf>
    <xf numFmtId="49" fontId="93" fillId="0" borderId="2" xfId="388" applyNumberFormat="1" applyFont="1" applyFill="1" applyBorder="1" applyAlignment="1">
      <alignment horizontal="center" vertical="center" wrapText="1"/>
    </xf>
    <xf numFmtId="169" fontId="93" fillId="0" borderId="2" xfId="388" applyNumberFormat="1" applyFont="1" applyFill="1" applyBorder="1" applyAlignment="1">
      <alignment horizontal="justify" vertical="center" wrapText="1"/>
    </xf>
    <xf numFmtId="164" fontId="93" fillId="0" borderId="2" xfId="388" applyNumberFormat="1" applyFont="1" applyFill="1" applyBorder="1" applyAlignment="1">
      <alignment horizontal="center" vertical="center" wrapText="1"/>
    </xf>
    <xf numFmtId="164" fontId="93" fillId="0" borderId="23" xfId="388" applyNumberFormat="1" applyFont="1" applyFill="1" applyBorder="1" applyAlignment="1">
      <alignment horizontal="center" vertical="center" wrapText="1"/>
    </xf>
    <xf numFmtId="164" fontId="93" fillId="0" borderId="0" xfId="388" applyNumberFormat="1" applyFont="1" applyFill="1" applyBorder="1" applyAlignment="1">
      <alignment horizontal="right" wrapText="1"/>
    </xf>
    <xf numFmtId="49" fontId="86" fillId="0" borderId="2" xfId="388" applyNumberFormat="1" applyFont="1" applyFill="1" applyBorder="1" applyAlignment="1">
      <alignment horizontal="center" vertical="center" wrapText="1"/>
    </xf>
    <xf numFmtId="169" fontId="86" fillId="0" borderId="2" xfId="388" applyNumberFormat="1" applyFont="1" applyFill="1" applyBorder="1" applyAlignment="1">
      <alignment horizontal="justify" vertical="center" wrapText="1"/>
    </xf>
    <xf numFmtId="164" fontId="86" fillId="0" borderId="2" xfId="388" applyNumberFormat="1" applyFont="1" applyFill="1" applyBorder="1" applyAlignment="1">
      <alignment horizontal="center" vertical="center" wrapText="1"/>
    </xf>
    <xf numFmtId="164" fontId="99" fillId="0" borderId="23" xfId="388" applyNumberFormat="1" applyFont="1" applyFill="1" applyBorder="1" applyAlignment="1">
      <alignment horizontal="center" vertical="center" wrapText="1"/>
    </xf>
    <xf numFmtId="164" fontId="99" fillId="0" borderId="0" xfId="388" applyNumberFormat="1" applyFont="1" applyFill="1" applyBorder="1" applyAlignment="1">
      <alignment horizontal="right" wrapText="1"/>
    </xf>
    <xf numFmtId="49" fontId="99" fillId="0" borderId="2" xfId="388" applyNumberFormat="1" applyFont="1" applyFill="1" applyBorder="1" applyAlignment="1">
      <alignment horizontal="center" vertical="center" wrapText="1"/>
    </xf>
    <xf numFmtId="169" fontId="99" fillId="0" borderId="2" xfId="388" applyNumberFormat="1" applyFont="1" applyFill="1" applyBorder="1" applyAlignment="1">
      <alignment horizontal="justify" vertical="center" wrapText="1"/>
    </xf>
    <xf numFmtId="164" fontId="99" fillId="0" borderId="2" xfId="388" applyNumberFormat="1" applyFont="1" applyFill="1" applyBorder="1" applyAlignment="1">
      <alignment horizontal="center" vertical="center" wrapText="1"/>
    </xf>
    <xf numFmtId="164" fontId="85" fillId="0" borderId="2" xfId="388" applyNumberFormat="1" applyFont="1" applyFill="1" applyBorder="1" applyAlignment="1">
      <alignment horizontal="center" vertical="center" wrapText="1"/>
    </xf>
    <xf numFmtId="164" fontId="85" fillId="0" borderId="23" xfId="388" applyNumberFormat="1" applyFont="1" applyFill="1" applyBorder="1" applyAlignment="1">
      <alignment horizontal="center" vertical="center" wrapText="1"/>
    </xf>
    <xf numFmtId="164" fontId="86" fillId="0" borderId="23" xfId="388" applyNumberFormat="1" applyFont="1" applyFill="1" applyBorder="1" applyAlignment="1">
      <alignment horizontal="center" vertical="center" wrapText="1"/>
    </xf>
    <xf numFmtId="169" fontId="86" fillId="0" borderId="2" xfId="388" quotePrefix="1" applyNumberFormat="1" applyFont="1" applyFill="1" applyBorder="1" applyAlignment="1">
      <alignment horizontal="justify" vertical="center" wrapText="1"/>
    </xf>
    <xf numFmtId="164" fontId="86" fillId="0" borderId="0" xfId="388" applyNumberFormat="1" applyFont="1" applyFill="1" applyBorder="1" applyAlignment="1">
      <alignment horizontal="right" wrapText="1"/>
    </xf>
    <xf numFmtId="164" fontId="99" fillId="0" borderId="23" xfId="388" applyNumberFormat="1" applyFont="1" applyFill="1" applyBorder="1" applyAlignment="1">
      <alignment horizontal="left" vertical="center" wrapText="1"/>
    </xf>
    <xf numFmtId="164" fontId="86" fillId="2" borderId="2" xfId="388" applyNumberFormat="1" applyFont="1" applyFill="1" applyBorder="1" applyAlignment="1">
      <alignment horizontal="center" vertical="center" wrapText="1"/>
    </xf>
    <xf numFmtId="164" fontId="86" fillId="2" borderId="23" xfId="388" applyNumberFormat="1" applyFont="1" applyFill="1" applyBorder="1" applyAlignment="1">
      <alignment horizontal="center" vertical="center" wrapText="1"/>
    </xf>
    <xf numFmtId="164" fontId="86" fillId="2" borderId="0" xfId="388" applyNumberFormat="1" applyFont="1" applyFill="1" applyBorder="1" applyAlignment="1">
      <alignment horizontal="right" wrapText="1"/>
    </xf>
    <xf numFmtId="0" fontId="67" fillId="0" borderId="0" xfId="0" applyFont="1"/>
    <xf numFmtId="49" fontId="93" fillId="6" borderId="2" xfId="388" applyNumberFormat="1" applyFont="1" applyFill="1" applyBorder="1" applyAlignment="1">
      <alignment horizontal="center" vertical="center" wrapText="1"/>
    </xf>
    <xf numFmtId="164" fontId="93" fillId="6" borderId="25" xfId="388" applyNumberFormat="1" applyFont="1" applyFill="1" applyBorder="1" applyAlignment="1">
      <alignment horizontal="right" wrapText="1"/>
    </xf>
    <xf numFmtId="49" fontId="93" fillId="68" borderId="2" xfId="388" applyNumberFormat="1" applyFont="1" applyFill="1" applyBorder="1" applyAlignment="1">
      <alignment horizontal="center" vertical="center" wrapText="1"/>
    </xf>
    <xf numFmtId="169" fontId="93" fillId="68" borderId="2" xfId="388" applyNumberFormat="1" applyFont="1" applyFill="1" applyBorder="1" applyAlignment="1">
      <alignment horizontal="justify" vertical="center" wrapText="1"/>
    </xf>
    <xf numFmtId="164" fontId="93" fillId="68" borderId="2" xfId="388" applyNumberFormat="1" applyFont="1" applyFill="1" applyBorder="1" applyAlignment="1">
      <alignment horizontal="center" vertical="center" wrapText="1"/>
    </xf>
    <xf numFmtId="164" fontId="93" fillId="68" borderId="25" xfId="388" applyNumberFormat="1" applyFont="1" applyFill="1" applyBorder="1" applyAlignment="1">
      <alignment horizontal="right" wrapText="1"/>
    </xf>
    <xf numFmtId="49" fontId="93" fillId="0" borderId="2" xfId="0" applyNumberFormat="1" applyFont="1" applyFill="1" applyBorder="1" applyAlignment="1">
      <alignment horizontal="center" vertical="center" wrapText="1"/>
    </xf>
    <xf numFmtId="0" fontId="0" fillId="0" borderId="23" xfId="0" applyBorder="1"/>
    <xf numFmtId="164" fontId="85" fillId="0" borderId="2" xfId="3" applyNumberFormat="1" applyFont="1" applyFill="1" applyBorder="1" applyAlignment="1">
      <alignment horizontal="center" vertical="center" wrapText="1"/>
    </xf>
    <xf numFmtId="169" fontId="85" fillId="0" borderId="2" xfId="388" applyNumberFormat="1" applyFont="1" applyFill="1" applyBorder="1" applyAlignment="1">
      <alignment horizontal="justify" vertical="center" wrapText="1"/>
    </xf>
    <xf numFmtId="164" fontId="86" fillId="0" borderId="2" xfId="3" applyNumberFormat="1" applyFont="1" applyFill="1" applyBorder="1" applyAlignment="1">
      <alignment horizontal="center" vertical="center" wrapText="1"/>
    </xf>
    <xf numFmtId="0" fontId="67" fillId="0" borderId="23" xfId="0" applyFont="1" applyBorder="1"/>
    <xf numFmtId="49" fontId="85" fillId="0" borderId="2" xfId="388" applyNumberFormat="1" applyFont="1" applyFill="1" applyBorder="1" applyAlignment="1">
      <alignment horizontal="center" vertical="center" wrapText="1"/>
    </xf>
    <xf numFmtId="0" fontId="73" fillId="0" borderId="2" xfId="0" applyFont="1" applyFill="1" applyBorder="1" applyAlignment="1">
      <alignment wrapText="1"/>
    </xf>
    <xf numFmtId="0" fontId="72" fillId="0" borderId="2" xfId="0" applyFont="1" applyFill="1" applyBorder="1" applyAlignment="1">
      <alignment wrapText="1"/>
    </xf>
    <xf numFmtId="0" fontId="73" fillId="0" borderId="2" xfId="0" applyFont="1" applyFill="1" applyBorder="1" applyAlignment="1">
      <alignment horizontal="center" vertical="center" wrapText="1"/>
    </xf>
    <xf numFmtId="0" fontId="73" fillId="0" borderId="2" xfId="0" applyFont="1" applyFill="1" applyBorder="1" applyAlignment="1">
      <alignment vertical="center" wrapTex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vertical="center" wrapText="1"/>
    </xf>
    <xf numFmtId="169" fontId="94" fillId="0" borderId="2" xfId="0" applyNumberFormat="1" applyFont="1" applyFill="1" applyBorder="1" applyAlignment="1">
      <alignment horizontal="justify" vertical="center" wrapText="1"/>
    </xf>
    <xf numFmtId="164" fontId="71" fillId="0" borderId="2" xfId="3" applyNumberFormat="1" applyFont="1" applyFill="1" applyBorder="1" applyAlignment="1">
      <alignment horizontal="center" vertical="center" wrapText="1"/>
    </xf>
    <xf numFmtId="49" fontId="85" fillId="0" borderId="2" xfId="0" applyNumberFormat="1" applyFont="1" applyFill="1" applyBorder="1" applyAlignment="1">
      <alignment horizontal="center" vertical="center" wrapText="1"/>
    </xf>
    <xf numFmtId="169" fontId="85" fillId="0" borderId="2" xfId="0" applyNumberFormat="1" applyFont="1" applyFill="1" applyBorder="1" applyAlignment="1">
      <alignment horizontal="justify" vertical="center" wrapText="1"/>
    </xf>
    <xf numFmtId="49" fontId="99" fillId="0" borderId="2" xfId="0" applyNumberFormat="1" applyFont="1" applyFill="1" applyBorder="1" applyAlignment="1">
      <alignment horizontal="center" vertical="center" wrapText="1"/>
    </xf>
    <xf numFmtId="169" fontId="99" fillId="0" borderId="2" xfId="0" applyNumberFormat="1" applyFont="1" applyFill="1" applyBorder="1" applyAlignment="1">
      <alignment horizontal="justify" vertical="center" wrapText="1"/>
    </xf>
    <xf numFmtId="169" fontId="86" fillId="0" borderId="2" xfId="0" applyNumberFormat="1" applyFont="1" applyFill="1" applyBorder="1" applyAlignment="1">
      <alignment horizontal="justify" vertical="center" wrapText="1"/>
    </xf>
    <xf numFmtId="169" fontId="59" fillId="0" borderId="2" xfId="0" applyNumberFormat="1" applyFont="1" applyFill="1" applyBorder="1" applyAlignment="1">
      <alignment horizontal="justify" vertical="center" wrapText="1"/>
    </xf>
    <xf numFmtId="169" fontId="93" fillId="0" borderId="2" xfId="388" applyNumberFormat="1" applyFont="1" applyFill="1" applyBorder="1" applyAlignment="1">
      <alignment vertical="justify" wrapText="1"/>
    </xf>
    <xf numFmtId="169" fontId="86" fillId="0" borderId="2" xfId="388" applyNumberFormat="1" applyFont="1" applyFill="1" applyBorder="1" applyAlignment="1">
      <alignment vertical="justify" wrapText="1"/>
    </xf>
    <xf numFmtId="49" fontId="86" fillId="0" borderId="2" xfId="0" applyNumberFormat="1" applyFont="1" applyFill="1" applyBorder="1" applyAlignment="1">
      <alignment horizontal="center" vertical="center" wrapText="1"/>
    </xf>
    <xf numFmtId="169" fontId="93" fillId="0" borderId="2" xfId="0" applyNumberFormat="1" applyFont="1" applyFill="1" applyBorder="1" applyAlignment="1">
      <alignment horizontal="justify" vertical="center" wrapText="1"/>
    </xf>
    <xf numFmtId="170" fontId="93" fillId="0" borderId="2" xfId="388" applyNumberFormat="1" applyFont="1" applyFill="1" applyBorder="1" applyAlignment="1">
      <alignment horizontal="center" vertical="center" wrapText="1"/>
    </xf>
    <xf numFmtId="0" fontId="86" fillId="2" borderId="2" xfId="339" applyFont="1" applyFill="1" applyBorder="1"/>
    <xf numFmtId="0" fontId="86" fillId="2" borderId="2" xfId="339" applyFont="1" applyFill="1" applyBorder="1" applyAlignment="1">
      <alignment wrapText="1"/>
    </xf>
    <xf numFmtId="164" fontId="71" fillId="2" borderId="2" xfId="3" applyNumberFormat="1" applyFont="1" applyFill="1" applyBorder="1" applyAlignment="1">
      <alignment horizontal="center" vertical="center" wrapText="1"/>
    </xf>
    <xf numFmtId="49" fontId="99" fillId="2" borderId="2" xfId="388" applyNumberFormat="1" applyFont="1" applyFill="1" applyBorder="1" applyAlignment="1">
      <alignment horizontal="center" vertical="center" wrapText="1"/>
    </xf>
    <xf numFmtId="169" fontId="85" fillId="2" borderId="2" xfId="388" applyNumberFormat="1" applyFont="1" applyFill="1" applyBorder="1" applyAlignment="1">
      <alignment horizontal="justify" vertical="center" wrapText="1"/>
    </xf>
    <xf numFmtId="164" fontId="85" fillId="2" borderId="2" xfId="388" applyNumberFormat="1" applyFont="1" applyFill="1" applyBorder="1" applyAlignment="1">
      <alignment horizontal="center" vertical="center" wrapText="1"/>
    </xf>
    <xf numFmtId="0" fontId="100" fillId="2" borderId="0" xfId="534" applyFont="1" applyFill="1"/>
    <xf numFmtId="0" fontId="101" fillId="70" borderId="0" xfId="534" applyFont="1" applyFill="1" applyAlignment="1">
      <alignment horizontal="center" vertical="top" wrapText="1"/>
    </xf>
    <xf numFmtId="0" fontId="88" fillId="70" borderId="0" xfId="534" applyFont="1" applyFill="1" applyAlignment="1">
      <alignment horizontal="right"/>
    </xf>
    <xf numFmtId="49" fontId="74" fillId="70" borderId="2" xfId="534" applyNumberFormat="1" applyFont="1" applyFill="1" applyBorder="1" applyAlignment="1">
      <alignment horizontal="center" vertical="center" wrapText="1"/>
    </xf>
    <xf numFmtId="49" fontId="74" fillId="70" borderId="2" xfId="534" applyNumberFormat="1" applyFont="1" applyFill="1" applyBorder="1" applyAlignment="1">
      <alignment vertical="center" wrapText="1"/>
    </xf>
    <xf numFmtId="164" fontId="74" fillId="2" borderId="2" xfId="534" applyNumberFormat="1" applyFont="1" applyFill="1" applyBorder="1" applyAlignment="1">
      <alignment horizontal="center"/>
    </xf>
    <xf numFmtId="0" fontId="74" fillId="2" borderId="2" xfId="534" applyFont="1" applyFill="1" applyBorder="1" applyAlignment="1">
      <alignment horizontal="center"/>
    </xf>
    <xf numFmtId="164" fontId="74" fillId="0" borderId="2" xfId="534" applyNumberFormat="1" applyFont="1" applyFill="1" applyBorder="1" applyAlignment="1">
      <alignment horizontal="center"/>
    </xf>
    <xf numFmtId="49" fontId="74" fillId="70" borderId="2" xfId="534" applyNumberFormat="1" applyFont="1" applyFill="1" applyBorder="1" applyAlignment="1">
      <alignment horizontal="center"/>
    </xf>
    <xf numFmtId="0" fontId="74" fillId="2" borderId="2" xfId="534" applyFont="1" applyFill="1" applyBorder="1"/>
    <xf numFmtId="0" fontId="74" fillId="2" borderId="2" xfId="534" applyFont="1" applyFill="1" applyBorder="1" applyAlignment="1">
      <alignment wrapText="1"/>
    </xf>
    <xf numFmtId="49" fontId="74" fillId="69" borderId="2" xfId="534" applyNumberFormat="1" applyFont="1" applyFill="1" applyBorder="1" applyAlignment="1">
      <alignment horizontal="center" vertical="center" wrapText="1"/>
    </xf>
    <xf numFmtId="49" fontId="74" fillId="69" borderId="2" xfId="534" applyNumberFormat="1" applyFont="1" applyFill="1" applyBorder="1" applyAlignment="1">
      <alignment vertical="center" wrapText="1"/>
    </xf>
    <xf numFmtId="164" fontId="74" fillId="69" borderId="2" xfId="534" applyNumberFormat="1" applyFont="1" applyFill="1" applyBorder="1" applyAlignment="1">
      <alignment horizontal="center"/>
    </xf>
    <xf numFmtId="0" fontId="74" fillId="69" borderId="2" xfId="534" applyFont="1" applyFill="1" applyBorder="1" applyAlignment="1">
      <alignment horizontal="center"/>
    </xf>
    <xf numFmtId="164" fontId="0" fillId="0" borderId="0" xfId="0" applyNumberFormat="1"/>
    <xf numFmtId="0" fontId="59" fillId="2" borderId="2" xfId="534" applyFont="1" applyFill="1" applyBorder="1"/>
    <xf numFmtId="49" fontId="59" fillId="70" borderId="2" xfId="534" applyNumberFormat="1" applyFont="1" applyFill="1" applyBorder="1" applyAlignment="1">
      <alignment vertical="center" wrapText="1"/>
    </xf>
    <xf numFmtId="4" fontId="59" fillId="2" borderId="2" xfId="534" applyNumberFormat="1" applyFont="1" applyFill="1" applyBorder="1" applyAlignment="1">
      <alignment horizontal="center"/>
    </xf>
    <xf numFmtId="0" fontId="88" fillId="70" borderId="0" xfId="534" applyFont="1" applyFill="1"/>
    <xf numFmtId="0" fontId="59" fillId="70" borderId="21" xfId="534" applyFont="1" applyFill="1" applyBorder="1" applyAlignment="1">
      <alignment horizontal="center" vertical="center" wrapText="1"/>
    </xf>
    <xf numFmtId="0" fontId="59" fillId="70" borderId="21" xfId="534" applyFont="1" applyFill="1" applyBorder="1" applyAlignment="1">
      <alignment vertical="center" wrapText="1"/>
    </xf>
    <xf numFmtId="164" fontId="74" fillId="70" borderId="2" xfId="534" applyNumberFormat="1" applyFont="1" applyFill="1" applyBorder="1" applyAlignment="1">
      <alignment horizontal="right"/>
    </xf>
    <xf numFmtId="164" fontId="59" fillId="70" borderId="2" xfId="534" applyNumberFormat="1" applyFont="1" applyFill="1" applyBorder="1" applyAlignment="1">
      <alignment horizontal="right"/>
    </xf>
    <xf numFmtId="164" fontId="59" fillId="70" borderId="2" xfId="534" applyNumberFormat="1" applyFont="1" applyFill="1" applyBorder="1" applyAlignment="1">
      <alignment horizontal="center"/>
    </xf>
    <xf numFmtId="0" fontId="59" fillId="2" borderId="2" xfId="534" applyFont="1" applyFill="1" applyBorder="1" applyAlignment="1">
      <alignment horizontal="center" vertical="center" wrapText="1"/>
    </xf>
    <xf numFmtId="0" fontId="59" fillId="70" borderId="2" xfId="534" applyFont="1" applyFill="1" applyBorder="1" applyAlignment="1">
      <alignment vertical="center" wrapText="1"/>
    </xf>
    <xf numFmtId="164" fontId="59" fillId="70" borderId="2" xfId="534" applyNumberFormat="1" applyFont="1" applyFill="1" applyBorder="1"/>
    <xf numFmtId="168" fontId="59" fillId="70" borderId="2" xfId="534" applyNumberFormat="1" applyFont="1" applyFill="1" applyBorder="1" applyAlignment="1">
      <alignment horizontal="center"/>
    </xf>
    <xf numFmtId="164" fontId="51" fillId="0" borderId="0" xfId="388" applyNumberFormat="1"/>
    <xf numFmtId="0" fontId="51" fillId="0" borderId="0" xfId="388" applyFont="1" applyAlignment="1">
      <alignment horizontal="center" vertical="center"/>
    </xf>
    <xf numFmtId="0" fontId="103" fillId="0" borderId="0" xfId="388" applyNumberFormat="1" applyFont="1" applyFill="1" applyBorder="1" applyAlignment="1">
      <alignment horizontal="right"/>
    </xf>
    <xf numFmtId="0" fontId="103" fillId="0" borderId="0" xfId="388" applyNumberFormat="1" applyFont="1" applyFill="1" applyBorder="1" applyAlignment="1">
      <alignment horizontal="center"/>
    </xf>
    <xf numFmtId="0" fontId="104" fillId="0" borderId="2" xfId="388" applyFont="1" applyFill="1" applyBorder="1" applyAlignment="1">
      <alignment horizontal="center" vertical="center"/>
    </xf>
    <xf numFmtId="169" fontId="95" fillId="0" borderId="2" xfId="388" applyNumberFormat="1" applyFont="1" applyFill="1" applyBorder="1" applyAlignment="1">
      <alignment horizontal="left" vertical="center" wrapText="1"/>
    </xf>
    <xf numFmtId="164" fontId="95" fillId="0" borderId="2" xfId="388" applyNumberFormat="1" applyFont="1" applyFill="1" applyBorder="1" applyAlignment="1">
      <alignment horizontal="center" vertical="center" wrapText="1"/>
    </xf>
    <xf numFmtId="169" fontId="95" fillId="0" borderId="2" xfId="388" applyNumberFormat="1" applyFont="1" applyFill="1" applyBorder="1" applyAlignment="1">
      <alignment horizontal="justify" vertical="center" wrapText="1"/>
    </xf>
    <xf numFmtId="164" fontId="95" fillId="0" borderId="2" xfId="388" applyNumberFormat="1" applyFont="1" applyFill="1" applyBorder="1" applyAlignment="1">
      <alignment horizontal="center" vertical="center"/>
    </xf>
    <xf numFmtId="0" fontId="91" fillId="0" borderId="2" xfId="388" applyFont="1" applyFill="1" applyBorder="1" applyAlignment="1">
      <alignment horizontal="center" vertical="center"/>
    </xf>
    <xf numFmtId="169" fontId="94" fillId="0" borderId="2" xfId="388" applyNumberFormat="1" applyFont="1" applyFill="1" applyBorder="1" applyAlignment="1">
      <alignment horizontal="justify" vertical="center" wrapText="1"/>
    </xf>
    <xf numFmtId="164" fontId="94" fillId="0" borderId="2" xfId="388" applyNumberFormat="1" applyFont="1" applyFill="1" applyBorder="1" applyAlignment="1">
      <alignment horizontal="center" vertical="center"/>
    </xf>
    <xf numFmtId="0" fontId="59" fillId="2" borderId="2" xfId="388" applyFont="1" applyFill="1" applyBorder="1" applyAlignment="1">
      <alignment horizontal="center" vertical="center"/>
    </xf>
    <xf numFmtId="168" fontId="59" fillId="2" borderId="2" xfId="388" applyNumberFormat="1" applyFont="1" applyFill="1" applyBorder="1" applyAlignment="1">
      <alignment horizontal="center" vertical="center"/>
    </xf>
    <xf numFmtId="164" fontId="95" fillId="0" borderId="23" xfId="388" applyNumberFormat="1" applyFont="1" applyFill="1" applyBorder="1" applyAlignment="1">
      <alignment horizontal="center" vertical="center"/>
    </xf>
    <xf numFmtId="164" fontId="59" fillId="0" borderId="23" xfId="388" applyNumberFormat="1" applyFont="1" applyFill="1" applyBorder="1" applyAlignment="1">
      <alignment horizontal="center" vertical="center"/>
    </xf>
    <xf numFmtId="168" fontId="59" fillId="2" borderId="23" xfId="388" applyNumberFormat="1" applyFont="1" applyFill="1" applyBorder="1" applyAlignment="1">
      <alignment horizontal="center" vertical="center"/>
    </xf>
    <xf numFmtId="49" fontId="59" fillId="0" borderId="2" xfId="388" applyNumberFormat="1" applyFont="1" applyFill="1" applyBorder="1" applyAlignment="1">
      <alignment horizontal="center" vertical="center" wrapText="1"/>
    </xf>
    <xf numFmtId="169" fontId="59" fillId="0" borderId="2" xfId="388" applyNumberFormat="1" applyFont="1" applyFill="1" applyBorder="1" applyAlignment="1">
      <alignment horizontal="justify" vertical="center" wrapText="1"/>
    </xf>
    <xf numFmtId="164" fontId="59" fillId="0" borderId="2" xfId="388" applyNumberFormat="1" applyFont="1" applyFill="1" applyBorder="1" applyAlignment="1">
      <alignment horizontal="center" vertical="center"/>
    </xf>
    <xf numFmtId="0" fontId="59" fillId="2" borderId="23" xfId="388" applyFont="1" applyFill="1" applyBorder="1" applyAlignment="1">
      <alignment horizontal="center" vertical="center"/>
    </xf>
    <xf numFmtId="164" fontId="74" fillId="2" borderId="2" xfId="388" applyNumberFormat="1" applyFont="1" applyFill="1" applyBorder="1" applyAlignment="1">
      <alignment horizontal="center"/>
    </xf>
    <xf numFmtId="49" fontId="94" fillId="0" borderId="2" xfId="388" applyNumberFormat="1" applyFont="1" applyFill="1" applyBorder="1" applyAlignment="1">
      <alignment horizontal="center" wrapText="1"/>
    </xf>
    <xf numFmtId="49" fontId="59" fillId="2" borderId="2" xfId="0" applyNumberFormat="1" applyFont="1" applyFill="1" applyBorder="1" applyAlignment="1">
      <alignment horizontal="center" vertical="center" wrapText="1"/>
    </xf>
    <xf numFmtId="169" fontId="59" fillId="2" borderId="2" xfId="0" applyNumberFormat="1" applyFont="1" applyFill="1" applyBorder="1" applyAlignment="1">
      <alignment horizontal="justify" vertical="center" wrapText="1"/>
    </xf>
    <xf numFmtId="49" fontId="59" fillId="2" borderId="2" xfId="388" applyNumberFormat="1" applyFont="1" applyFill="1" applyBorder="1" applyAlignment="1">
      <alignment horizontal="center" vertical="center" wrapText="1"/>
    </xf>
    <xf numFmtId="49" fontId="94" fillId="2" borderId="2" xfId="388" applyNumberFormat="1" applyFont="1" applyFill="1" applyBorder="1" applyAlignment="1">
      <alignment horizontal="center" vertical="center" wrapText="1"/>
    </xf>
    <xf numFmtId="0" fontId="68" fillId="0" borderId="2" xfId="0" applyFont="1" applyBorder="1" applyAlignment="1">
      <alignment wrapText="1"/>
    </xf>
    <xf numFmtId="49" fontId="94" fillId="2" borderId="2" xfId="0" applyNumberFormat="1" applyFont="1" applyFill="1" applyBorder="1" applyAlignment="1">
      <alignment horizontal="center" vertical="center" wrapText="1"/>
    </xf>
    <xf numFmtId="169" fontId="94" fillId="2" borderId="2" xfId="0" applyNumberFormat="1" applyFont="1" applyFill="1" applyBorder="1" applyAlignment="1">
      <alignment horizontal="justify" vertical="center" wrapText="1"/>
    </xf>
    <xf numFmtId="49" fontId="94" fillId="0" borderId="2" xfId="406" applyNumberFormat="1" applyFont="1" applyFill="1" applyBorder="1" applyAlignment="1">
      <alignment horizontal="center" vertical="center" wrapText="1"/>
    </xf>
    <xf numFmtId="169" fontId="94" fillId="0" borderId="2" xfId="406" applyNumberFormat="1" applyFont="1" applyFill="1" applyBorder="1" applyAlignment="1">
      <alignment horizontal="justify" vertical="center" wrapText="1"/>
    </xf>
    <xf numFmtId="0" fontId="91" fillId="0" borderId="2" xfId="388" applyFont="1" applyBorder="1" applyAlignment="1">
      <alignment horizontal="center" vertical="center"/>
    </xf>
    <xf numFmtId="49" fontId="91" fillId="0" borderId="2" xfId="388" applyNumberFormat="1" applyFont="1" applyFill="1" applyBorder="1" applyAlignment="1">
      <alignment horizontal="center" vertical="center" wrapText="1"/>
    </xf>
    <xf numFmtId="169" fontId="104" fillId="0" borderId="2" xfId="388" applyNumberFormat="1" applyFont="1" applyFill="1" applyBorder="1" applyAlignment="1">
      <alignment horizontal="justify" vertical="center" wrapText="1"/>
    </xf>
    <xf numFmtId="49" fontId="104" fillId="0" borderId="2" xfId="388" applyNumberFormat="1" applyFont="1" applyFill="1" applyBorder="1" applyAlignment="1">
      <alignment horizontal="center" vertical="center" wrapText="1"/>
    </xf>
    <xf numFmtId="164" fontId="104" fillId="0" borderId="2" xfId="388" applyNumberFormat="1" applyFont="1" applyFill="1" applyBorder="1" applyAlignment="1">
      <alignment horizontal="center" vertical="center"/>
    </xf>
    <xf numFmtId="0" fontId="51" fillId="0" borderId="0" xfId="388" applyFont="1"/>
    <xf numFmtId="0" fontId="88" fillId="0" borderId="0" xfId="534" applyFont="1" applyFill="1" applyAlignment="1">
      <alignment wrapText="1"/>
    </xf>
    <xf numFmtId="0" fontId="88" fillId="0" borderId="0" xfId="534" applyFont="1" applyFill="1" applyAlignment="1">
      <alignment horizontal="right" wrapText="1"/>
    </xf>
    <xf numFmtId="0" fontId="68" fillId="0" borderId="2" xfId="0" applyFont="1" applyBorder="1" applyAlignment="1">
      <alignment horizontal="center" vertical="center"/>
    </xf>
    <xf numFmtId="0" fontId="68" fillId="0" borderId="2" xfId="0" applyFont="1" applyBorder="1" applyAlignment="1">
      <alignment vertical="top"/>
    </xf>
    <xf numFmtId="0" fontId="68" fillId="0" borderId="2" xfId="0" applyFont="1" applyBorder="1" applyAlignment="1">
      <alignment vertical="top" wrapText="1"/>
    </xf>
    <xf numFmtId="0" fontId="70" fillId="2" borderId="2" xfId="0" applyFont="1" applyFill="1" applyBorder="1" applyAlignment="1">
      <alignment vertical="center"/>
    </xf>
    <xf numFmtId="0" fontId="70" fillId="2" borderId="2" xfId="0" applyFont="1" applyFill="1" applyBorder="1" applyAlignment="1">
      <alignment vertical="center" wrapText="1"/>
    </xf>
    <xf numFmtId="0" fontId="71" fillId="2" borderId="2" xfId="0" applyFont="1" applyFill="1" applyBorder="1" applyAlignment="1">
      <alignment vertical="center"/>
    </xf>
    <xf numFmtId="0" fontId="70" fillId="0" borderId="2" xfId="0" applyFont="1" applyBorder="1" applyAlignment="1">
      <alignment vertical="center" wrapText="1"/>
    </xf>
    <xf numFmtId="0" fontId="70" fillId="0" borderId="2" xfId="0" applyFont="1" applyBorder="1" applyAlignment="1">
      <alignment vertical="center"/>
    </xf>
    <xf numFmtId="0" fontId="59" fillId="0" borderId="0" xfId="534" applyFont="1" applyFill="1" applyAlignment="1">
      <alignment horizontal="right"/>
    </xf>
    <xf numFmtId="0" fontId="88" fillId="0" borderId="0" xfId="534" applyFont="1" applyFill="1" applyAlignment="1">
      <alignment horizontal="right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49" fontId="94" fillId="0" borderId="26" xfId="388" applyNumberFormat="1" applyFont="1" applyFill="1" applyBorder="1" applyAlignment="1">
      <alignment horizontal="center" vertical="center" wrapText="1"/>
    </xf>
    <xf numFmtId="49" fontId="94" fillId="0" borderId="24" xfId="388" applyNumberFormat="1" applyFont="1" applyFill="1" applyBorder="1" applyAlignment="1">
      <alignment horizontal="center" vertical="center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164" fontId="105" fillId="2" borderId="2" xfId="1" applyNumberFormat="1" applyFont="1" applyFill="1" applyBorder="1" applyAlignment="1">
      <alignment horizontal="center"/>
    </xf>
    <xf numFmtId="171" fontId="4" fillId="2" borderId="2" xfId="1" applyNumberFormat="1" applyFont="1" applyFill="1" applyBorder="1" applyAlignment="1">
      <alignment horizontal="center" wrapText="1"/>
    </xf>
    <xf numFmtId="171" fontId="4" fillId="0" borderId="2" xfId="1" applyNumberFormat="1" applyFont="1" applyFill="1" applyBorder="1" applyAlignment="1">
      <alignment horizontal="center" wrapText="1"/>
    </xf>
    <xf numFmtId="171" fontId="8" fillId="3" borderId="2" xfId="1" applyNumberFormat="1" applyFont="1" applyFill="1" applyBorder="1" applyAlignment="1">
      <alignment horizontal="center" wrapText="1"/>
    </xf>
    <xf numFmtId="171" fontId="8" fillId="5" borderId="2" xfId="1" applyNumberFormat="1" applyFont="1" applyFill="1" applyBorder="1" applyAlignment="1">
      <alignment horizontal="center" wrapText="1"/>
    </xf>
    <xf numFmtId="164" fontId="105" fillId="2" borderId="2" xfId="1" applyNumberFormat="1" applyFont="1" applyFill="1" applyBorder="1" applyAlignment="1">
      <alignment horizontal="center" wrapText="1"/>
    </xf>
    <xf numFmtId="171" fontId="105" fillId="2" borderId="2" xfId="1" applyNumberFormat="1" applyFont="1" applyFill="1" applyBorder="1" applyAlignment="1">
      <alignment horizontal="center" wrapText="1"/>
    </xf>
    <xf numFmtId="164" fontId="105" fillId="0" borderId="2" xfId="1" applyNumberFormat="1" applyFont="1" applyFill="1" applyBorder="1" applyAlignment="1">
      <alignment horizontal="center" wrapText="1"/>
    </xf>
    <xf numFmtId="171" fontId="105" fillId="0" borderId="2" xfId="1" applyNumberFormat="1" applyFont="1" applyFill="1" applyBorder="1" applyAlignment="1">
      <alignment horizontal="center" wrapText="1"/>
    </xf>
    <xf numFmtId="171" fontId="8" fillId="4" borderId="2" xfId="1" applyNumberFormat="1" applyFont="1" applyFill="1" applyBorder="1" applyAlignment="1">
      <alignment horizontal="center" wrapText="1"/>
    </xf>
    <xf numFmtId="164" fontId="105" fillId="2" borderId="2" xfId="1" applyNumberFormat="1" applyFont="1" applyFill="1" applyBorder="1" applyAlignment="1">
      <alignment horizontal="center" vertical="top" wrapText="1"/>
    </xf>
    <xf numFmtId="171" fontId="8" fillId="2" borderId="2" xfId="1" applyNumberFormat="1" applyFont="1" applyFill="1" applyBorder="1" applyAlignment="1">
      <alignment horizontal="center" wrapText="1"/>
    </xf>
    <xf numFmtId="171" fontId="8" fillId="66" borderId="2" xfId="1" applyNumberFormat="1" applyFont="1" applyFill="1" applyBorder="1" applyAlignment="1">
      <alignment horizontal="center" vertical="top" wrapText="1"/>
    </xf>
    <xf numFmtId="171" fontId="8" fillId="6" borderId="2" xfId="1" applyNumberFormat="1" applyFont="1" applyFill="1" applyBorder="1" applyAlignment="1">
      <alignment horizontal="center"/>
    </xf>
    <xf numFmtId="171" fontId="106" fillId="5" borderId="2" xfId="1" applyNumberFormat="1" applyFont="1" applyFill="1" applyBorder="1" applyAlignment="1">
      <alignment horizontal="center" wrapText="1"/>
    </xf>
    <xf numFmtId="172" fontId="8" fillId="4" borderId="2" xfId="1" applyNumberFormat="1" applyFont="1" applyFill="1" applyBorder="1" applyAlignment="1">
      <alignment horizontal="center" wrapText="1"/>
    </xf>
    <xf numFmtId="172" fontId="8" fillId="5" borderId="2" xfId="1" applyNumberFormat="1" applyFont="1" applyFill="1" applyBorder="1" applyAlignment="1">
      <alignment horizontal="center" wrapText="1"/>
    </xf>
    <xf numFmtId="172" fontId="4" fillId="2" borderId="2" xfId="1" applyNumberFormat="1" applyFont="1" applyFill="1" applyBorder="1" applyAlignment="1">
      <alignment horizontal="center" wrapText="1"/>
    </xf>
    <xf numFmtId="172" fontId="4" fillId="0" borderId="2" xfId="1" applyNumberFormat="1" applyFont="1" applyFill="1" applyBorder="1" applyAlignment="1">
      <alignment horizontal="center" wrapText="1"/>
    </xf>
    <xf numFmtId="172" fontId="105" fillId="2" borderId="2" xfId="1" applyNumberFormat="1" applyFont="1" applyFill="1" applyBorder="1" applyAlignment="1">
      <alignment horizontal="center" wrapText="1"/>
    </xf>
    <xf numFmtId="171" fontId="83" fillId="0" borderId="2" xfId="0" applyNumberFormat="1" applyFont="1" applyBorder="1" applyAlignment="1">
      <alignment horizontal="center"/>
    </xf>
    <xf numFmtId="171" fontId="70" fillId="0" borderId="2" xfId="0" applyNumberFormat="1" applyFont="1" applyBorder="1" applyAlignment="1">
      <alignment horizontal="center"/>
    </xf>
    <xf numFmtId="171" fontId="84" fillId="0" borderId="2" xfId="0" applyNumberFormat="1" applyFont="1" applyBorder="1" applyAlignment="1">
      <alignment horizontal="center"/>
    </xf>
    <xf numFmtId="164" fontId="105" fillId="0" borderId="2" xfId="1" applyNumberFormat="1" applyFont="1" applyFill="1" applyBorder="1" applyAlignment="1">
      <alignment horizontal="center" vertical="top" wrapText="1"/>
    </xf>
    <xf numFmtId="164" fontId="105" fillId="0" borderId="2" xfId="1" applyNumberFormat="1" applyFont="1" applyFill="1" applyBorder="1" applyAlignment="1">
      <alignment horizontal="center"/>
    </xf>
    <xf numFmtId="172" fontId="105" fillId="0" borderId="2" xfId="1" applyNumberFormat="1" applyFont="1" applyFill="1" applyBorder="1" applyAlignment="1">
      <alignment horizontal="center" wrapText="1"/>
    </xf>
    <xf numFmtId="164" fontId="4" fillId="69" borderId="2" xfId="1" applyNumberFormat="1" applyFont="1" applyFill="1" applyBorder="1" applyAlignment="1">
      <alignment horizontal="center"/>
    </xf>
    <xf numFmtId="164" fontId="4" fillId="69" borderId="2" xfId="1" applyNumberFormat="1" applyFont="1" applyFill="1" applyBorder="1" applyAlignment="1">
      <alignment horizontal="center" wrapText="1"/>
    </xf>
    <xf numFmtId="164" fontId="105" fillId="69" borderId="2" xfId="1" applyNumberFormat="1" applyFont="1" applyFill="1" applyBorder="1" applyAlignment="1">
      <alignment horizontal="center"/>
    </xf>
    <xf numFmtId="164" fontId="107" fillId="69" borderId="2" xfId="1" applyNumberFormat="1" applyFont="1" applyFill="1" applyBorder="1" applyAlignment="1">
      <alignment horizontal="center"/>
    </xf>
    <xf numFmtId="0" fontId="60" fillId="7" borderId="2" xfId="0" applyFont="1" applyFill="1" applyBorder="1"/>
    <xf numFmtId="0" fontId="60" fillId="6" borderId="2" xfId="0" applyFont="1" applyFill="1" applyBorder="1"/>
    <xf numFmtId="0" fontId="84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4" fillId="2" borderId="0" xfId="1" applyFont="1" applyFill="1" applyAlignment="1">
      <alignment horizontal="right" vertical="center" wrapText="1"/>
    </xf>
    <xf numFmtId="0" fontId="8" fillId="0" borderId="1" xfId="1" applyFont="1" applyBorder="1" applyAlignment="1">
      <alignment horizontal="center" vertical="center" wrapText="1"/>
    </xf>
    <xf numFmtId="0" fontId="74" fillId="0" borderId="2" xfId="0" applyFont="1" applyBorder="1" applyAlignment="1">
      <alignment horizontal="center" vertical="center" wrapText="1"/>
    </xf>
    <xf numFmtId="0" fontId="73" fillId="0" borderId="0" xfId="0" applyFont="1" applyBorder="1" applyAlignment="1">
      <alignment horizontal="center" wrapText="1"/>
    </xf>
    <xf numFmtId="0" fontId="69" fillId="0" borderId="2" xfId="0" applyFont="1" applyBorder="1" applyAlignment="1">
      <alignment horizontal="center" vertical="center"/>
    </xf>
    <xf numFmtId="0" fontId="74" fillId="0" borderId="22" xfId="0" applyFont="1" applyBorder="1" applyAlignment="1">
      <alignment horizontal="center" vertical="center" wrapText="1"/>
    </xf>
    <xf numFmtId="0" fontId="74" fillId="0" borderId="23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24" xfId="0" applyFont="1" applyBorder="1" applyAlignment="1">
      <alignment horizontal="center" vertical="center" wrapText="1"/>
    </xf>
    <xf numFmtId="0" fontId="76" fillId="0" borderId="0" xfId="0" applyFont="1" applyBorder="1" applyAlignment="1">
      <alignment horizontal="center" vertical="center" wrapText="1"/>
    </xf>
    <xf numFmtId="0" fontId="70" fillId="0" borderId="1" xfId="0" applyFont="1" applyBorder="1" applyAlignment="1">
      <alignment horizontal="right"/>
    </xf>
    <xf numFmtId="0" fontId="69" fillId="0" borderId="0" xfId="0" applyFont="1" applyAlignment="1">
      <alignment horizontal="center" vertical="center" wrapText="1"/>
    </xf>
    <xf numFmtId="0" fontId="86" fillId="0" borderId="2" xfId="534" applyFont="1" applyFill="1" applyBorder="1" applyAlignment="1">
      <alignment horizontal="center" vertical="top" wrapText="1"/>
    </xf>
    <xf numFmtId="0" fontId="85" fillId="0" borderId="0" xfId="534" applyFont="1" applyFill="1" applyAlignment="1">
      <alignment horizontal="center"/>
    </xf>
    <xf numFmtId="0" fontId="85" fillId="0" borderId="0" xfId="534" applyFont="1" applyFill="1" applyAlignment="1">
      <alignment horizontal="center" wrapText="1"/>
    </xf>
    <xf numFmtId="0" fontId="59" fillId="0" borderId="0" xfId="534" applyFont="1" applyFill="1" applyBorder="1" applyAlignment="1">
      <alignment horizontal="right"/>
    </xf>
    <xf numFmtId="0" fontId="4" fillId="0" borderId="1" xfId="534" applyFont="1" applyFill="1" applyBorder="1" applyAlignment="1">
      <alignment horizontal="right"/>
    </xf>
    <xf numFmtId="0" fontId="88" fillId="0" borderId="0" xfId="534" applyFont="1" applyFill="1" applyAlignment="1">
      <alignment horizontal="right" wrapText="1"/>
    </xf>
    <xf numFmtId="0" fontId="89" fillId="0" borderId="0" xfId="534" applyFont="1" applyFill="1" applyAlignment="1">
      <alignment horizontal="center"/>
    </xf>
    <xf numFmtId="0" fontId="88" fillId="0" borderId="1" xfId="534" applyFont="1" applyFill="1" applyBorder="1" applyAlignment="1">
      <alignment horizontal="right"/>
    </xf>
    <xf numFmtId="0" fontId="88" fillId="0" borderId="0" xfId="534" applyFont="1" applyFill="1" applyBorder="1" applyAlignment="1">
      <alignment horizontal="right"/>
    </xf>
    <xf numFmtId="0" fontId="59" fillId="0" borderId="1" xfId="534" applyFont="1" applyFill="1" applyBorder="1" applyAlignment="1">
      <alignment horizontal="right"/>
    </xf>
    <xf numFmtId="0" fontId="74" fillId="70" borderId="0" xfId="534" applyFont="1" applyFill="1" applyAlignment="1">
      <alignment horizontal="center" vertical="top" wrapText="1"/>
    </xf>
    <xf numFmtId="49" fontId="74" fillId="70" borderId="3" xfId="534" applyNumberFormat="1" applyFont="1" applyFill="1" applyBorder="1" applyAlignment="1">
      <alignment horizontal="center"/>
    </xf>
    <xf numFmtId="49" fontId="74" fillId="70" borderId="23" xfId="534" applyNumberFormat="1" applyFont="1" applyFill="1" applyBorder="1" applyAlignment="1">
      <alignment horizontal="center"/>
    </xf>
    <xf numFmtId="49" fontId="59" fillId="70" borderId="3" xfId="534" applyNumberFormat="1" applyFont="1" applyFill="1" applyBorder="1" applyAlignment="1">
      <alignment horizontal="center"/>
    </xf>
    <xf numFmtId="49" fontId="59" fillId="70" borderId="23" xfId="534" applyNumberFormat="1" applyFont="1" applyFill="1" applyBorder="1" applyAlignment="1">
      <alignment horizontal="center"/>
    </xf>
    <xf numFmtId="0" fontId="96" fillId="0" borderId="23" xfId="388" applyFont="1" applyBorder="1" applyAlignment="1">
      <alignment horizontal="center" vertical="center" wrapText="1"/>
    </xf>
    <xf numFmtId="0" fontId="74" fillId="70" borderId="21" xfId="534" applyFont="1" applyFill="1" applyBorder="1" applyAlignment="1">
      <alignment horizontal="center" vertical="center" wrapText="1"/>
    </xf>
    <xf numFmtId="0" fontId="74" fillId="70" borderId="24" xfId="534" applyFont="1" applyFill="1" applyBorder="1" applyAlignment="1">
      <alignment horizontal="center" vertical="center" wrapText="1"/>
    </xf>
    <xf numFmtId="0" fontId="74" fillId="70" borderId="2" xfId="534" applyFont="1" applyFill="1" applyBorder="1" applyAlignment="1">
      <alignment horizontal="center" vertical="center" wrapText="1"/>
    </xf>
    <xf numFmtId="0" fontId="59" fillId="2" borderId="0" xfId="1" applyFont="1" applyFill="1" applyAlignment="1">
      <alignment horizontal="center" vertical="center" wrapText="1"/>
    </xf>
    <xf numFmtId="0" fontId="93" fillId="0" borderId="0" xfId="388" applyNumberFormat="1" applyFont="1" applyFill="1" applyBorder="1" applyAlignment="1">
      <alignment horizontal="center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0" fontId="96" fillId="0" borderId="2" xfId="388" applyFont="1" applyBorder="1" applyAlignment="1">
      <alignment horizontal="center" vertical="center" wrapText="1"/>
    </xf>
    <xf numFmtId="0" fontId="84" fillId="0" borderId="2" xfId="0" applyFont="1" applyBorder="1" applyAlignment="1">
      <alignment horizontal="center" wrapText="1"/>
    </xf>
    <xf numFmtId="49" fontId="94" fillId="0" borderId="21" xfId="388" applyNumberFormat="1" applyFont="1" applyFill="1" applyBorder="1" applyAlignment="1">
      <alignment horizontal="center" vertical="center" wrapText="1"/>
    </xf>
    <xf numFmtId="49" fontId="94" fillId="0" borderId="26" xfId="388" applyNumberFormat="1" applyFont="1" applyFill="1" applyBorder="1" applyAlignment="1">
      <alignment horizontal="center" vertical="center" wrapText="1"/>
    </xf>
    <xf numFmtId="49" fontId="94" fillId="0" borderId="24" xfId="388" applyNumberFormat="1" applyFont="1" applyFill="1" applyBorder="1" applyAlignment="1">
      <alignment horizontal="center" vertical="center" wrapText="1"/>
    </xf>
    <xf numFmtId="0" fontId="102" fillId="0" borderId="0" xfId="388" applyNumberFormat="1" applyFont="1" applyFill="1" applyBorder="1" applyAlignment="1">
      <alignment horizontal="center" vertical="center" wrapText="1"/>
    </xf>
    <xf numFmtId="0" fontId="96" fillId="0" borderId="0" xfId="388" applyFont="1" applyBorder="1" applyAlignment="1">
      <alignment horizontal="center"/>
    </xf>
    <xf numFmtId="0" fontId="91" fillId="0" borderId="2" xfId="388" applyFont="1" applyBorder="1" applyAlignment="1">
      <alignment horizontal="center" vertical="center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49" fontId="59" fillId="0" borderId="21" xfId="388" applyNumberFormat="1" applyFont="1" applyFill="1" applyBorder="1" applyAlignment="1">
      <alignment horizontal="center" vertical="center" wrapText="1"/>
    </xf>
    <xf numFmtId="49" fontId="59" fillId="0" borderId="24" xfId="388" applyNumberFormat="1" applyFont="1" applyFill="1" applyBorder="1" applyAlignment="1">
      <alignment horizontal="center" vertical="center" wrapText="1"/>
    </xf>
    <xf numFmtId="49" fontId="59" fillId="0" borderId="26" xfId="388" applyNumberFormat="1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68" fillId="2" borderId="0" xfId="1" applyFont="1" applyFill="1" applyAlignment="1">
      <alignment horizontal="center" vertical="center"/>
    </xf>
    <xf numFmtId="0" fontId="68" fillId="0" borderId="0" xfId="1" applyFont="1" applyAlignment="1">
      <alignment horizontal="center"/>
    </xf>
    <xf numFmtId="0" fontId="59" fillId="2" borderId="0" xfId="1" applyFont="1" applyFill="1" applyAlignment="1">
      <alignment horizontal="center" vertical="center"/>
    </xf>
    <xf numFmtId="0" fontId="68" fillId="0" borderId="0" xfId="1" applyFont="1" applyAlignment="1">
      <alignment wrapText="1"/>
    </xf>
    <xf numFmtId="0" fontId="68" fillId="0" borderId="0" xfId="1" applyFont="1" applyAlignment="1">
      <alignment horizontal="center" wrapText="1"/>
    </xf>
    <xf numFmtId="0" fontId="4" fillId="2" borderId="0" xfId="1" applyFont="1" applyFill="1" applyAlignment="1">
      <alignment horizontal="center" vertical="center" wrapText="1"/>
    </xf>
    <xf numFmtId="0" fontId="72" fillId="0" borderId="0" xfId="0" applyFont="1" applyAlignment="1">
      <alignment horizontal="center"/>
    </xf>
    <xf numFmtId="0" fontId="59" fillId="0" borderId="0" xfId="534" applyFont="1" applyFill="1" applyAlignment="1"/>
    <xf numFmtId="0" fontId="59" fillId="0" borderId="0" xfId="534" applyFont="1" applyFill="1" applyAlignment="1">
      <alignment horizontal="center"/>
    </xf>
  </cellXfs>
  <cellStyles count="663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3-2025%20&#1075;&#1086;&#1076;&#1099;/&#1055;&#1088;&#1080;&#1083;&#1086;&#1078;&#1077;&#1085;&#1080;&#1103;%202022-20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3-2025%20&#1075;&#1086;&#1076;&#1099;/&#1044;&#1086;&#1093;&#1086;&#1076;&#1099;%20&#1085;&#1072;%202023-202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070;&#1044;&#1046;&#1045;&#1058;%20&#1070;&#1052;&#1054;%20&#1085;&#1072;%202021-2023%20&#1075;&#1086;&#1076;&#1099;/&#1087;&#1088;&#1086;&#1077;&#1082;&#1090;%20&#1088;&#1077;&#1096;&#1077;&#1085;&#1080;&#1103;/&#1055;&#1088;&#1080;&#1083;&#1086;&#1078;&#1077;&#1085;&#1080;&#1077;%20&#1082;%20&#1073;&#1102;&#1076;&#1078;&#1077;&#1090;&#1091;%20&#1085;&#1072;%202021-2023%2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  <sheetName val="Приложение 3 "/>
      <sheetName val="свод потребности по МП"/>
      <sheetName val="МП 01"/>
      <sheetName val="МП 02"/>
      <sheetName val="МП 03"/>
      <sheetName val="МП 04"/>
      <sheetName val="МП 05"/>
      <sheetName val="МП 06"/>
      <sheetName val="МП 07"/>
      <sheetName val="МП 08"/>
      <sheetName val="МП 09"/>
      <sheetName val="МП 10"/>
      <sheetName val="МП 11"/>
      <sheetName val="МП 12"/>
      <sheetName val="МП 13"/>
      <sheetName val="МП 14"/>
      <sheetName val="МП 15"/>
      <sheetName val="МП 16"/>
      <sheetName val="МП ФКГС"/>
      <sheetName val="непрограм"/>
      <sheetName val="МБТ"/>
      <sheetName val="собств обеспечен"/>
      <sheetName val="итог"/>
    </sheetNames>
    <sheetDataSet>
      <sheetData sheetId="0"/>
      <sheetData sheetId="1"/>
      <sheetData sheetId="2"/>
      <sheetData sheetId="3"/>
      <sheetData sheetId="4"/>
      <sheetData sheetId="5">
        <row r="72">
          <cell r="G72">
            <v>3629.8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Доходы"/>
      <sheetName val="Ожидаемое"/>
      <sheetName val="реестр источников доходов"/>
    </sheetNames>
    <sheetDataSet>
      <sheetData sheetId="0">
        <row r="61">
          <cell r="C61">
            <v>0</v>
          </cell>
          <cell r="D61">
            <v>0</v>
          </cell>
          <cell r="E61">
            <v>0</v>
          </cell>
        </row>
        <row r="88">
          <cell r="C88">
            <v>339606.3</v>
          </cell>
          <cell r="D88">
            <v>338260.7</v>
          </cell>
          <cell r="E88">
            <v>361108.6</v>
          </cell>
        </row>
        <row r="89">
          <cell r="C89">
            <v>0</v>
          </cell>
          <cell r="D89">
            <v>0</v>
          </cell>
          <cell r="E89">
            <v>0</v>
          </cell>
        </row>
        <row r="94">
          <cell r="C94">
            <v>498.4</v>
          </cell>
          <cell r="D94">
            <v>0</v>
          </cell>
          <cell r="E94">
            <v>0</v>
          </cell>
        </row>
        <row r="108">
          <cell r="C108">
            <v>8028.8</v>
          </cell>
          <cell r="D108">
            <v>9296.4000000000015</v>
          </cell>
          <cell r="E108">
            <v>8949.2999999999993</v>
          </cell>
        </row>
        <row r="113">
          <cell r="C113">
            <v>2300.8000000000002</v>
          </cell>
          <cell r="D113">
            <v>9713.4</v>
          </cell>
          <cell r="E113">
            <v>12991</v>
          </cell>
        </row>
        <row r="117">
          <cell r="C117">
            <v>28102.299999999996</v>
          </cell>
          <cell r="D117">
            <v>31296.699999999997</v>
          </cell>
          <cell r="E117">
            <v>31150.799999999999</v>
          </cell>
        </row>
        <row r="139">
          <cell r="C139">
            <v>283848.10000000003</v>
          </cell>
          <cell r="D139">
            <v>277940.3</v>
          </cell>
          <cell r="E139">
            <v>271179.10000000003</v>
          </cell>
        </row>
        <row r="153">
          <cell r="C153">
            <v>2760.9</v>
          </cell>
          <cell r="D153">
            <v>2760.9</v>
          </cell>
          <cell r="E153">
            <v>5521.8</v>
          </cell>
        </row>
        <row r="156">
          <cell r="C156">
            <v>868.4</v>
          </cell>
          <cell r="D156">
            <v>897.5</v>
          </cell>
          <cell r="E156">
            <v>897.5</v>
          </cell>
        </row>
        <row r="157">
          <cell r="C157">
            <v>2.6</v>
          </cell>
          <cell r="D157">
            <v>2.6</v>
          </cell>
          <cell r="E157">
            <v>2.6</v>
          </cell>
        </row>
        <row r="158">
          <cell r="C158">
            <v>1085.5</v>
          </cell>
          <cell r="D158">
            <v>1134.4000000000001</v>
          </cell>
          <cell r="E158">
            <v>1134.4000000000001</v>
          </cell>
        </row>
        <row r="159">
          <cell r="C159">
            <v>1830.1</v>
          </cell>
          <cell r="D159">
            <v>103</v>
          </cell>
          <cell r="E159">
            <v>143</v>
          </cell>
        </row>
        <row r="164">
          <cell r="C164">
            <v>12128.1</v>
          </cell>
          <cell r="D164">
            <v>12128.1</v>
          </cell>
          <cell r="E164">
            <v>12128.1</v>
          </cell>
        </row>
        <row r="165">
          <cell r="C165">
            <v>12157.8</v>
          </cell>
          <cell r="D165">
            <v>14136.5</v>
          </cell>
          <cell r="E165">
            <v>11721.4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1"/>
      <sheetName val="приложение 2"/>
      <sheetName val="Приложение 3"/>
      <sheetName val="Приложение 4"/>
      <sheetName val="Приложение 5 "/>
      <sheetName val="Приложение 6"/>
      <sheetName val="Приложение 7"/>
      <sheetName val="приложение 8 "/>
      <sheetName val="приложение 9"/>
      <sheetName val="СПРАВОЧНО 1"/>
      <sheetName val="СПРАВОЧНО 2"/>
      <sheetName val="СПРАВОЧНО 3 (МП)"/>
      <sheetName val="реестр источников доходов"/>
    </sheetNames>
    <sheetDataSet>
      <sheetData sheetId="0"/>
      <sheetData sheetId="1"/>
      <sheetData sheetId="2"/>
      <sheetData sheetId="3">
        <row r="15">
          <cell r="C15">
            <v>31300.9</v>
          </cell>
        </row>
        <row r="67">
          <cell r="C67">
            <v>0</v>
          </cell>
          <cell r="D67">
            <v>0</v>
          </cell>
          <cell r="E67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4" sqref="B4"/>
    </sheetView>
  </sheetViews>
  <sheetFormatPr defaultColWidth="9.140625" defaultRowHeight="15" x14ac:dyDescent="0.25"/>
  <cols>
    <col min="1" max="1" width="17.28515625" style="233" customWidth="1"/>
    <col min="2" max="2" width="64.5703125" style="233" customWidth="1"/>
    <col min="3" max="16384" width="9.140625" style="233"/>
  </cols>
  <sheetData>
    <row r="1" spans="1:2" ht="61.15" customHeight="1" x14ac:dyDescent="0.25">
      <c r="A1" s="470" t="s">
        <v>1366</v>
      </c>
      <c r="B1" s="470"/>
    </row>
    <row r="3" spans="1:2" ht="60" x14ac:dyDescent="0.25">
      <c r="A3" s="426" t="s">
        <v>765</v>
      </c>
      <c r="B3" s="427" t="s">
        <v>1370</v>
      </c>
    </row>
    <row r="4" spans="1:2" ht="45" x14ac:dyDescent="0.25">
      <c r="A4" s="426" t="s">
        <v>766</v>
      </c>
      <c r="B4" s="427" t="s">
        <v>1371</v>
      </c>
    </row>
    <row r="5" spans="1:2" ht="30" x14ac:dyDescent="0.25">
      <c r="A5" s="426" t="s">
        <v>1359</v>
      </c>
      <c r="B5" s="427" t="s">
        <v>1372</v>
      </c>
    </row>
    <row r="6" spans="1:2" ht="45" x14ac:dyDescent="0.25">
      <c r="A6" s="428" t="s">
        <v>768</v>
      </c>
      <c r="B6" s="427" t="s">
        <v>1373</v>
      </c>
    </row>
    <row r="7" spans="1:2" ht="45" x14ac:dyDescent="0.25">
      <c r="A7" s="428" t="s">
        <v>778</v>
      </c>
      <c r="B7" s="427" t="s">
        <v>1374</v>
      </c>
    </row>
    <row r="8" spans="1:2" ht="45" x14ac:dyDescent="0.25">
      <c r="A8" s="426" t="s">
        <v>816</v>
      </c>
      <c r="B8" s="427" t="s">
        <v>1375</v>
      </c>
    </row>
    <row r="9" spans="1:2" ht="45" x14ac:dyDescent="0.25">
      <c r="A9" s="426" t="s">
        <v>856</v>
      </c>
      <c r="B9" s="427" t="s">
        <v>1376</v>
      </c>
    </row>
    <row r="10" spans="1:2" ht="30" x14ac:dyDescent="0.25">
      <c r="A10" s="426" t="s">
        <v>1360</v>
      </c>
      <c r="B10" s="429" t="s">
        <v>1361</v>
      </c>
    </row>
    <row r="11" spans="1:2" x14ac:dyDescent="0.25">
      <c r="A11" s="430" t="s">
        <v>1362</v>
      </c>
      <c r="B11" s="429" t="s">
        <v>1363</v>
      </c>
    </row>
    <row r="12" spans="1:2" ht="30" x14ac:dyDescent="0.25">
      <c r="A12" s="426" t="s">
        <v>1364</v>
      </c>
      <c r="B12" s="427" t="s">
        <v>1343</v>
      </c>
    </row>
    <row r="13" spans="1:2" ht="30" x14ac:dyDescent="0.25">
      <c r="A13" s="426" t="s">
        <v>1365</v>
      </c>
      <c r="B13" s="429" t="s">
        <v>1367</v>
      </c>
    </row>
  </sheetData>
  <mergeCells count="1">
    <mergeCell ref="A1:B1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view="pageBreakPreview" zoomScale="60" zoomScaleNormal="70" workbookViewId="0">
      <selection activeCell="B1" sqref="B1"/>
    </sheetView>
  </sheetViews>
  <sheetFormatPr defaultRowHeight="15" x14ac:dyDescent="0.25"/>
  <cols>
    <col min="1" max="1" width="30.85546875" style="275" customWidth="1"/>
    <col min="2" max="2" width="104.42578125" style="275" customWidth="1"/>
    <col min="3" max="3" width="19" style="275" customWidth="1"/>
    <col min="4" max="4" width="20.140625" style="275" customWidth="1"/>
    <col min="5" max="5" width="17.85546875" customWidth="1"/>
    <col min="6" max="6" width="42.7109375" hidden="1" customWidth="1"/>
    <col min="7" max="7" width="16.42578125" customWidth="1"/>
    <col min="8" max="8" width="0.5703125" hidden="1" customWidth="1"/>
    <col min="9" max="9" width="17.7109375" hidden="1" customWidth="1"/>
    <col min="10" max="10" width="12.85546875" hidden="1" customWidth="1"/>
    <col min="11" max="11" width="12" hidden="1" customWidth="1"/>
    <col min="12" max="12" width="11.28515625" customWidth="1"/>
  </cols>
  <sheetData>
    <row r="1" spans="1:8" ht="18.75" x14ac:dyDescent="0.25">
      <c r="A1" s="267"/>
      <c r="B1" s="268"/>
      <c r="C1" s="489" t="s">
        <v>857</v>
      </c>
      <c r="D1" s="489"/>
      <c r="E1" s="489"/>
      <c r="F1" s="489"/>
      <c r="G1" s="269"/>
      <c r="H1" s="269"/>
    </row>
    <row r="2" spans="1:8" ht="18" customHeight="1" x14ac:dyDescent="0.3">
      <c r="A2" s="267"/>
      <c r="B2" s="270"/>
      <c r="C2" s="489" t="s">
        <v>866</v>
      </c>
      <c r="D2" s="489"/>
      <c r="E2" s="489"/>
      <c r="F2" s="489"/>
      <c r="G2" s="271"/>
      <c r="H2" s="271"/>
    </row>
    <row r="3" spans="1:8" s="272" customFormat="1" ht="15.75" x14ac:dyDescent="0.25">
      <c r="C3" s="244"/>
      <c r="D3" s="244"/>
      <c r="E3" s="252" t="s">
        <v>815</v>
      </c>
      <c r="F3" s="252" t="s">
        <v>815</v>
      </c>
      <c r="G3" s="273"/>
      <c r="H3" s="273"/>
    </row>
    <row r="4" spans="1:8" s="272" customFormat="1" ht="15.75" x14ac:dyDescent="0.25">
      <c r="C4" s="244"/>
      <c r="D4" s="244"/>
      <c r="E4" s="252" t="s">
        <v>1406</v>
      </c>
      <c r="F4" s="252" t="s">
        <v>841</v>
      </c>
      <c r="G4" s="273"/>
      <c r="H4" s="273"/>
    </row>
    <row r="5" spans="1:8" ht="15.6" x14ac:dyDescent="0.3">
      <c r="A5" s="267"/>
      <c r="B5" s="267"/>
      <c r="C5" s="503"/>
      <c r="D5" s="503"/>
      <c r="E5" s="503"/>
      <c r="F5" s="503"/>
      <c r="G5" s="271"/>
      <c r="H5" s="271"/>
    </row>
    <row r="6" spans="1:8" ht="18.75" x14ac:dyDescent="0.25">
      <c r="A6" s="504" t="s">
        <v>867</v>
      </c>
      <c r="B6" s="504"/>
      <c r="C6" s="504"/>
      <c r="D6" s="504"/>
      <c r="E6" s="504"/>
      <c r="F6" s="504"/>
      <c r="G6" s="274"/>
      <c r="H6" s="274"/>
    </row>
    <row r="7" spans="1:8" ht="15.6" x14ac:dyDescent="0.3">
      <c r="D7" s="276"/>
    </row>
    <row r="8" spans="1:8" ht="18.75" x14ac:dyDescent="0.25">
      <c r="A8" s="505" t="s">
        <v>868</v>
      </c>
      <c r="B8" s="505" t="s">
        <v>869</v>
      </c>
      <c r="C8" s="506" t="s">
        <v>870</v>
      </c>
      <c r="D8" s="506" t="s">
        <v>871</v>
      </c>
      <c r="E8" s="506" t="s">
        <v>872</v>
      </c>
      <c r="F8" s="499" t="s">
        <v>873</v>
      </c>
      <c r="G8" s="277"/>
      <c r="H8" s="277"/>
    </row>
    <row r="9" spans="1:8" ht="18.75" x14ac:dyDescent="0.25">
      <c r="A9" s="505"/>
      <c r="B9" s="505"/>
      <c r="C9" s="506"/>
      <c r="D9" s="506"/>
      <c r="E9" s="506"/>
      <c r="F9" s="499"/>
      <c r="G9" s="278"/>
      <c r="H9" s="278"/>
    </row>
    <row r="10" spans="1:8" ht="18.75" x14ac:dyDescent="0.25">
      <c r="A10" s="505"/>
      <c r="B10" s="505"/>
      <c r="C10" s="506"/>
      <c r="D10" s="506"/>
      <c r="E10" s="506"/>
      <c r="F10" s="499"/>
      <c r="G10" s="278"/>
      <c r="H10" s="278"/>
    </row>
    <row r="11" spans="1:8" ht="14.45" x14ac:dyDescent="0.3">
      <c r="A11" s="279" t="s">
        <v>874</v>
      </c>
      <c r="B11" s="279" t="s">
        <v>875</v>
      </c>
      <c r="C11" s="280">
        <v>3</v>
      </c>
      <c r="D11" s="280">
        <v>4</v>
      </c>
      <c r="E11" s="280">
        <v>5</v>
      </c>
      <c r="F11" s="281">
        <v>7</v>
      </c>
      <c r="G11" s="282"/>
      <c r="H11" s="282"/>
    </row>
    <row r="12" spans="1:8" ht="18.75" x14ac:dyDescent="0.3">
      <c r="A12" s="283" t="s">
        <v>876</v>
      </c>
      <c r="B12" s="284" t="s">
        <v>877</v>
      </c>
      <c r="C12" s="285">
        <f>C13+C48</f>
        <v>108022.1</v>
      </c>
      <c r="D12" s="285">
        <f t="shared" ref="D12" si="0">D13+D48</f>
        <v>115109.29999999999</v>
      </c>
      <c r="E12" s="285">
        <f>D12/C12*100</f>
        <v>106.56087967184492</v>
      </c>
      <c r="F12" s="286"/>
      <c r="G12" s="287">
        <f>D12-C12</f>
        <v>7087.1999999999825</v>
      </c>
      <c r="H12" s="287"/>
    </row>
    <row r="13" spans="1:8" ht="18.75" x14ac:dyDescent="0.3">
      <c r="A13" s="288"/>
      <c r="B13" s="289" t="s">
        <v>878</v>
      </c>
      <c r="C13" s="290">
        <f>C14+C20+C26+C32+C41</f>
        <v>81822.900000000009</v>
      </c>
      <c r="D13" s="290">
        <f t="shared" ref="D13" si="1">D14+D20+D26+D32+D41</f>
        <v>86860.4</v>
      </c>
      <c r="E13" s="290">
        <f>D13/C13*100</f>
        <v>106.15658941445486</v>
      </c>
      <c r="F13" s="291"/>
      <c r="G13" s="292"/>
      <c r="H13" s="292"/>
    </row>
    <row r="14" spans="1:8" ht="18.75" x14ac:dyDescent="0.3">
      <c r="A14" s="293" t="s">
        <v>879</v>
      </c>
      <c r="B14" s="294" t="s">
        <v>880</v>
      </c>
      <c r="C14" s="295">
        <f>C15</f>
        <v>35965</v>
      </c>
      <c r="D14" s="295">
        <f>D15</f>
        <v>37697</v>
      </c>
      <c r="E14" s="295">
        <f>D14/C14*100</f>
        <v>104.81579313221188</v>
      </c>
      <c r="F14" s="296"/>
      <c r="G14" s="297"/>
      <c r="H14" s="297"/>
    </row>
    <row r="15" spans="1:8" ht="18.75" x14ac:dyDescent="0.3">
      <c r="A15" s="298" t="s">
        <v>881</v>
      </c>
      <c r="B15" s="299" t="s">
        <v>882</v>
      </c>
      <c r="C15" s="300">
        <v>35965</v>
      </c>
      <c r="D15" s="300">
        <v>37697</v>
      </c>
      <c r="E15" s="300">
        <f>D15/C15*100</f>
        <v>104.81579313221188</v>
      </c>
      <c r="F15" s="301"/>
      <c r="G15" s="302"/>
      <c r="H15" s="302"/>
    </row>
    <row r="16" spans="1:8" ht="72" hidden="1" x14ac:dyDescent="0.35">
      <c r="A16" s="303" t="s">
        <v>883</v>
      </c>
      <c r="B16" s="304" t="s">
        <v>884</v>
      </c>
      <c r="C16" s="305">
        <v>31300.9</v>
      </c>
      <c r="D16" s="305">
        <v>34162</v>
      </c>
      <c r="E16" s="305">
        <f>D16/C16*100</f>
        <v>109.14063173902346</v>
      </c>
      <c r="F16" s="301"/>
      <c r="G16" s="302"/>
      <c r="H16" s="302"/>
    </row>
    <row r="17" spans="1:8" ht="90" hidden="1" x14ac:dyDescent="0.35">
      <c r="A17" s="303" t="s">
        <v>885</v>
      </c>
      <c r="B17" s="304" t="s">
        <v>886</v>
      </c>
      <c r="C17" s="305">
        <v>56.6</v>
      </c>
      <c r="D17" s="305">
        <v>56.5</v>
      </c>
      <c r="E17" s="305">
        <f t="shared" ref="E17:E19" si="2">D17/C17*100</f>
        <v>99.823321554770317</v>
      </c>
      <c r="F17" s="301"/>
      <c r="G17" s="302"/>
      <c r="H17" s="302"/>
    </row>
    <row r="18" spans="1:8" ht="36" hidden="1" x14ac:dyDescent="0.35">
      <c r="A18" s="303" t="s">
        <v>887</v>
      </c>
      <c r="B18" s="304" t="s">
        <v>888</v>
      </c>
      <c r="C18" s="305">
        <v>201</v>
      </c>
      <c r="D18" s="305">
        <v>201</v>
      </c>
      <c r="E18" s="305">
        <f t="shared" si="2"/>
        <v>100</v>
      </c>
      <c r="F18" s="301"/>
      <c r="G18" s="302"/>
      <c r="H18" s="302"/>
    </row>
    <row r="19" spans="1:8" ht="72" hidden="1" x14ac:dyDescent="0.35">
      <c r="A19" s="303" t="s">
        <v>889</v>
      </c>
      <c r="B19" s="304" t="s">
        <v>890</v>
      </c>
      <c r="C19" s="305">
        <v>4.5</v>
      </c>
      <c r="D19" s="305">
        <v>4.5</v>
      </c>
      <c r="E19" s="305">
        <f t="shared" si="2"/>
        <v>100</v>
      </c>
      <c r="F19" s="301"/>
      <c r="G19" s="302"/>
      <c r="H19" s="302"/>
    </row>
    <row r="20" spans="1:8" ht="37.5" x14ac:dyDescent="0.3">
      <c r="A20" s="293" t="s">
        <v>891</v>
      </c>
      <c r="B20" s="294" t="s">
        <v>892</v>
      </c>
      <c r="C20" s="306">
        <f>C21</f>
        <v>23183.9</v>
      </c>
      <c r="D20" s="306">
        <f t="shared" ref="D20" si="3">D21</f>
        <v>24335.5</v>
      </c>
      <c r="E20" s="306">
        <f>D20/C20*100</f>
        <v>104.96724019686074</v>
      </c>
      <c r="F20" s="307"/>
      <c r="G20" s="297"/>
      <c r="H20" s="297"/>
    </row>
    <row r="21" spans="1:8" ht="37.5" x14ac:dyDescent="0.3">
      <c r="A21" s="303" t="s">
        <v>893</v>
      </c>
      <c r="B21" s="304" t="s">
        <v>894</v>
      </c>
      <c r="C21" s="300">
        <v>23183.9</v>
      </c>
      <c r="D21" s="300">
        <v>24335.5</v>
      </c>
      <c r="E21" s="300">
        <f>D21/C21*100</f>
        <v>104.96724019686074</v>
      </c>
      <c r="F21" s="308"/>
      <c r="G21" s="302"/>
      <c r="H21" s="302"/>
    </row>
    <row r="22" spans="1:8" ht="90" hidden="1" x14ac:dyDescent="0.35">
      <c r="A22" s="303" t="s">
        <v>895</v>
      </c>
      <c r="B22" s="304" t="s">
        <v>896</v>
      </c>
      <c r="C22" s="300">
        <v>8344.7999999999993</v>
      </c>
      <c r="D22" s="300">
        <v>8863.7000000000007</v>
      </c>
      <c r="E22" s="300">
        <f t="shared" ref="E22:E25" si="4">D22/C22*100</f>
        <v>106.21824369667338</v>
      </c>
      <c r="F22" s="308"/>
      <c r="G22" s="302"/>
      <c r="H22" s="302"/>
    </row>
    <row r="23" spans="1:8" ht="108" hidden="1" x14ac:dyDescent="0.35">
      <c r="A23" s="303" t="s">
        <v>897</v>
      </c>
      <c r="B23" s="304" t="s">
        <v>898</v>
      </c>
      <c r="C23" s="300">
        <v>49.2</v>
      </c>
      <c r="D23" s="300">
        <v>63.4</v>
      </c>
      <c r="E23" s="300">
        <f t="shared" si="4"/>
        <v>128.86178861788616</v>
      </c>
      <c r="F23" s="308"/>
      <c r="G23" s="302"/>
      <c r="H23" s="302"/>
    </row>
    <row r="24" spans="1:8" ht="90" hidden="1" x14ac:dyDescent="0.35">
      <c r="A24" s="303" t="s">
        <v>899</v>
      </c>
      <c r="B24" s="304" t="s">
        <v>900</v>
      </c>
      <c r="C24" s="300">
        <v>11196</v>
      </c>
      <c r="D24" s="300">
        <v>12179.6</v>
      </c>
      <c r="E24" s="300">
        <f t="shared" si="4"/>
        <v>108.78528045730617</v>
      </c>
      <c r="F24" s="308"/>
      <c r="G24" s="302"/>
      <c r="H24" s="302"/>
    </row>
    <row r="25" spans="1:8" ht="90" hidden="1" x14ac:dyDescent="0.35">
      <c r="A25" s="303" t="s">
        <v>901</v>
      </c>
      <c r="B25" s="304" t="s">
        <v>902</v>
      </c>
      <c r="C25" s="300">
        <v>-1422</v>
      </c>
      <c r="D25" s="300">
        <v>-1564.7</v>
      </c>
      <c r="E25" s="300">
        <f t="shared" si="4"/>
        <v>110.0351617440225</v>
      </c>
      <c r="F25" s="308"/>
      <c r="G25" s="302"/>
      <c r="H25" s="302"/>
    </row>
    <row r="26" spans="1:8" ht="18.75" x14ac:dyDescent="0.3">
      <c r="A26" s="293" t="s">
        <v>903</v>
      </c>
      <c r="B26" s="294" t="s">
        <v>904</v>
      </c>
      <c r="C26" s="295">
        <f>C28+C30+C27</f>
        <v>2453.8000000000002</v>
      </c>
      <c r="D26" s="295">
        <f>D28+D30</f>
        <v>2780</v>
      </c>
      <c r="E26" s="295">
        <f>D26/C26</f>
        <v>1.1329366696552285</v>
      </c>
      <c r="F26" s="296"/>
      <c r="G26" s="297"/>
      <c r="H26" s="297"/>
    </row>
    <row r="27" spans="1:8" ht="18.75" x14ac:dyDescent="0.3">
      <c r="A27" s="303" t="s">
        <v>905</v>
      </c>
      <c r="B27" s="309" t="s">
        <v>906</v>
      </c>
      <c r="C27" s="300">
        <v>21.8</v>
      </c>
      <c r="D27" s="300">
        <v>24.3</v>
      </c>
      <c r="E27" s="305">
        <f t="shared" ref="E27:E40" si="5">D27/C27*100</f>
        <v>111.46788990825689</v>
      </c>
      <c r="F27" s="301"/>
      <c r="G27" s="297"/>
      <c r="H27" s="297"/>
    </row>
    <row r="28" spans="1:8" ht="18.75" x14ac:dyDescent="0.3">
      <c r="A28" s="303" t="s">
        <v>907</v>
      </c>
      <c r="B28" s="304" t="s">
        <v>908</v>
      </c>
      <c r="C28" s="305">
        <f>C29</f>
        <v>2082</v>
      </c>
      <c r="D28" s="305">
        <f>D29</f>
        <v>2196</v>
      </c>
      <c r="E28" s="305">
        <f t="shared" si="5"/>
        <v>105.47550432276658</v>
      </c>
      <c r="F28" s="301"/>
      <c r="G28" s="302"/>
      <c r="H28" s="302"/>
    </row>
    <row r="29" spans="1:8" ht="18" hidden="1" x14ac:dyDescent="0.35">
      <c r="A29" s="303" t="s">
        <v>909</v>
      </c>
      <c r="B29" s="304" t="s">
        <v>908</v>
      </c>
      <c r="C29" s="305">
        <v>2082</v>
      </c>
      <c r="D29" s="305">
        <v>2196</v>
      </c>
      <c r="E29" s="305">
        <f t="shared" si="5"/>
        <v>105.47550432276658</v>
      </c>
      <c r="F29" s="301"/>
      <c r="G29" s="302"/>
      <c r="H29" s="302"/>
    </row>
    <row r="30" spans="1:8" ht="18.75" x14ac:dyDescent="0.3">
      <c r="A30" s="303" t="s">
        <v>910</v>
      </c>
      <c r="B30" s="304" t="s">
        <v>911</v>
      </c>
      <c r="C30" s="305">
        <f>C31</f>
        <v>350</v>
      </c>
      <c r="D30" s="305">
        <f>D31</f>
        <v>584</v>
      </c>
      <c r="E30" s="305">
        <f t="shared" si="5"/>
        <v>166.85714285714286</v>
      </c>
      <c r="F30" s="301"/>
      <c r="G30" s="302"/>
      <c r="H30" s="302"/>
    </row>
    <row r="31" spans="1:8" ht="36" hidden="1" x14ac:dyDescent="0.35">
      <c r="A31" s="303" t="s">
        <v>912</v>
      </c>
      <c r="B31" s="304" t="s">
        <v>913</v>
      </c>
      <c r="C31" s="305">
        <v>350</v>
      </c>
      <c r="D31" s="305">
        <v>584</v>
      </c>
      <c r="E31" s="305">
        <f t="shared" si="5"/>
        <v>166.85714285714286</v>
      </c>
      <c r="F31" s="301"/>
      <c r="G31" s="302"/>
      <c r="H31" s="302"/>
    </row>
    <row r="32" spans="1:8" ht="18.75" x14ac:dyDescent="0.3">
      <c r="A32" s="293" t="s">
        <v>914</v>
      </c>
      <c r="B32" s="294" t="s">
        <v>915</v>
      </c>
      <c r="C32" s="295">
        <f>C33+C35+C38</f>
        <v>19016</v>
      </c>
      <c r="D32" s="295">
        <f>D33+D35+D38</f>
        <v>20568</v>
      </c>
      <c r="E32" s="295">
        <f t="shared" si="5"/>
        <v>108.16154816996213</v>
      </c>
      <c r="F32" s="296"/>
      <c r="G32" s="297"/>
      <c r="H32" s="297"/>
    </row>
    <row r="33" spans="1:8" ht="18.75" x14ac:dyDescent="0.3">
      <c r="A33" s="298" t="s">
        <v>916</v>
      </c>
      <c r="B33" s="299" t="s">
        <v>917</v>
      </c>
      <c r="C33" s="300">
        <v>1652</v>
      </c>
      <c r="D33" s="300">
        <v>1551</v>
      </c>
      <c r="E33" s="300">
        <f t="shared" si="5"/>
        <v>93.8861985472155</v>
      </c>
      <c r="F33" s="308"/>
      <c r="G33" s="310"/>
      <c r="H33" s="310"/>
    </row>
    <row r="34" spans="1:8" ht="36" hidden="1" x14ac:dyDescent="0.35">
      <c r="A34" s="298" t="s">
        <v>918</v>
      </c>
      <c r="B34" s="299" t="s">
        <v>919</v>
      </c>
      <c r="C34" s="300">
        <v>1670</v>
      </c>
      <c r="D34" s="300">
        <v>1130</v>
      </c>
      <c r="E34" s="300">
        <f t="shared" si="5"/>
        <v>67.664670658682638</v>
      </c>
      <c r="F34" s="308"/>
      <c r="G34" s="310"/>
      <c r="H34" s="310"/>
    </row>
    <row r="35" spans="1:8" ht="18.75" x14ac:dyDescent="0.3">
      <c r="A35" s="303" t="s">
        <v>920</v>
      </c>
      <c r="B35" s="304" t="s">
        <v>921</v>
      </c>
      <c r="C35" s="305">
        <v>12963</v>
      </c>
      <c r="D35" s="305">
        <v>13529</v>
      </c>
      <c r="E35" s="300">
        <f t="shared" si="5"/>
        <v>104.36627323921932</v>
      </c>
      <c r="F35" s="301"/>
      <c r="G35" s="302"/>
      <c r="H35" s="302"/>
    </row>
    <row r="36" spans="1:8" ht="18.75" x14ac:dyDescent="0.3">
      <c r="A36" s="303" t="s">
        <v>922</v>
      </c>
      <c r="B36" s="304" t="s">
        <v>923</v>
      </c>
      <c r="C36" s="305">
        <v>1755</v>
      </c>
      <c r="D36" s="300">
        <v>1311</v>
      </c>
      <c r="E36" s="300">
        <f t="shared" si="5"/>
        <v>74.700854700854705</v>
      </c>
      <c r="F36" s="301"/>
      <c r="G36" s="302"/>
      <c r="H36" s="302"/>
    </row>
    <row r="37" spans="1:8" ht="18.75" x14ac:dyDescent="0.3">
      <c r="A37" s="303" t="s">
        <v>924</v>
      </c>
      <c r="B37" s="304" t="s">
        <v>925</v>
      </c>
      <c r="C37" s="305">
        <v>10980</v>
      </c>
      <c r="D37" s="300">
        <v>10980</v>
      </c>
      <c r="E37" s="300">
        <f t="shared" si="5"/>
        <v>100</v>
      </c>
      <c r="F37" s="301"/>
      <c r="G37" s="302"/>
      <c r="H37" s="302"/>
    </row>
    <row r="38" spans="1:8" ht="18.75" x14ac:dyDescent="0.3">
      <c r="A38" s="303" t="s">
        <v>926</v>
      </c>
      <c r="B38" s="304" t="s">
        <v>927</v>
      </c>
      <c r="C38" s="305">
        <v>4401</v>
      </c>
      <c r="D38" s="305">
        <v>5488</v>
      </c>
      <c r="E38" s="300">
        <f t="shared" si="5"/>
        <v>124.69893206089525</v>
      </c>
      <c r="F38" s="301"/>
      <c r="G38" s="302"/>
      <c r="H38" s="302"/>
    </row>
    <row r="39" spans="1:8" ht="37.5" x14ac:dyDescent="0.3">
      <c r="A39" s="303" t="s">
        <v>928</v>
      </c>
      <c r="B39" s="304" t="s">
        <v>929</v>
      </c>
      <c r="C39" s="305">
        <v>3280</v>
      </c>
      <c r="D39" s="300">
        <v>3017</v>
      </c>
      <c r="E39" s="300">
        <f t="shared" si="5"/>
        <v>91.981707317073173</v>
      </c>
      <c r="F39" s="301"/>
      <c r="G39" s="302"/>
      <c r="H39" s="302"/>
    </row>
    <row r="40" spans="1:8" ht="37.5" x14ac:dyDescent="0.3">
      <c r="A40" s="303" t="s">
        <v>930</v>
      </c>
      <c r="B40" s="304" t="s">
        <v>931</v>
      </c>
      <c r="C40" s="305">
        <v>1970</v>
      </c>
      <c r="D40" s="300">
        <v>1970</v>
      </c>
      <c r="E40" s="300">
        <f t="shared" si="5"/>
        <v>100</v>
      </c>
      <c r="F40" s="301"/>
      <c r="G40" s="302"/>
      <c r="H40" s="302"/>
    </row>
    <row r="41" spans="1:8" ht="18.75" x14ac:dyDescent="0.3">
      <c r="A41" s="293" t="s">
        <v>932</v>
      </c>
      <c r="B41" s="294" t="s">
        <v>933</v>
      </c>
      <c r="C41" s="295">
        <f>C42+C46+C44</f>
        <v>1204.2</v>
      </c>
      <c r="D41" s="295">
        <f>D42+D46+D44</f>
        <v>1479.9</v>
      </c>
      <c r="E41" s="295">
        <f>D41/C41*100</f>
        <v>122.89486796213254</v>
      </c>
      <c r="F41" s="296"/>
      <c r="G41" s="297"/>
      <c r="H41" s="297"/>
    </row>
    <row r="42" spans="1:8" ht="36" hidden="1" x14ac:dyDescent="0.35">
      <c r="A42" s="303" t="s">
        <v>934</v>
      </c>
      <c r="B42" s="304" t="s">
        <v>935</v>
      </c>
      <c r="C42" s="305">
        <v>1113</v>
      </c>
      <c r="D42" s="305">
        <v>1400</v>
      </c>
      <c r="E42" s="305">
        <f>D42/C42*100</f>
        <v>125.78616352201257</v>
      </c>
      <c r="F42" s="301"/>
      <c r="G42" s="302"/>
      <c r="H42" s="302"/>
    </row>
    <row r="43" spans="1:8" ht="36" hidden="1" x14ac:dyDescent="0.35">
      <c r="A43" s="303" t="s">
        <v>936</v>
      </c>
      <c r="B43" s="304" t="s">
        <v>937</v>
      </c>
      <c r="C43" s="305">
        <v>952.6</v>
      </c>
      <c r="D43" s="305">
        <v>1160</v>
      </c>
      <c r="E43" s="305">
        <f t="shared" ref="E43:E47" si="6">D43/C43*100</f>
        <v>121.77199244173839</v>
      </c>
      <c r="F43" s="301"/>
      <c r="G43" s="302"/>
      <c r="H43" s="302"/>
    </row>
    <row r="44" spans="1:8" ht="36" hidden="1" x14ac:dyDescent="0.35">
      <c r="A44" s="303" t="s">
        <v>938</v>
      </c>
      <c r="B44" s="304" t="s">
        <v>939</v>
      </c>
      <c r="C44" s="305">
        <v>52.8</v>
      </c>
      <c r="D44" s="305">
        <v>31.9</v>
      </c>
      <c r="E44" s="305">
        <f t="shared" si="6"/>
        <v>60.416666666666664</v>
      </c>
      <c r="F44" s="301"/>
      <c r="G44" s="302"/>
      <c r="H44" s="302"/>
    </row>
    <row r="45" spans="1:8" ht="54" hidden="1" x14ac:dyDescent="0.35">
      <c r="A45" s="303" t="s">
        <v>940</v>
      </c>
      <c r="B45" s="304" t="s">
        <v>941</v>
      </c>
      <c r="C45" s="305">
        <v>41.2</v>
      </c>
      <c r="D45" s="305">
        <v>50.7</v>
      </c>
      <c r="E45" s="305">
        <f t="shared" si="6"/>
        <v>123.05825242718447</v>
      </c>
      <c r="F45" s="301"/>
      <c r="G45" s="302"/>
      <c r="H45" s="302"/>
    </row>
    <row r="46" spans="1:8" ht="36" hidden="1" x14ac:dyDescent="0.35">
      <c r="A46" s="303" t="s">
        <v>942</v>
      </c>
      <c r="B46" s="304" t="s">
        <v>943</v>
      </c>
      <c r="C46" s="305">
        <f>C47</f>
        <v>38.4</v>
      </c>
      <c r="D46" s="305">
        <v>48</v>
      </c>
      <c r="E46" s="305">
        <f t="shared" si="6"/>
        <v>125</v>
      </c>
      <c r="F46" s="301"/>
      <c r="G46" s="302"/>
      <c r="H46" s="302"/>
    </row>
    <row r="47" spans="1:8" ht="72" hidden="1" x14ac:dyDescent="0.35">
      <c r="A47" s="303" t="s">
        <v>944</v>
      </c>
      <c r="B47" s="304" t="s">
        <v>945</v>
      </c>
      <c r="C47" s="305">
        <v>38.4</v>
      </c>
      <c r="D47" s="305">
        <v>46.4</v>
      </c>
      <c r="E47" s="305">
        <f t="shared" si="6"/>
        <v>120.83333333333333</v>
      </c>
      <c r="F47" s="301"/>
      <c r="G47" s="302"/>
      <c r="H47" s="302"/>
    </row>
    <row r="48" spans="1:8" ht="18.75" x14ac:dyDescent="0.3">
      <c r="A48" s="288"/>
      <c r="B48" s="289" t="s">
        <v>946</v>
      </c>
      <c r="C48" s="290">
        <f>C49+C56+C61+C67+C73</f>
        <v>26199.200000000001</v>
      </c>
      <c r="D48" s="290">
        <f>D49+D56+D61+D67+D73</f>
        <v>28248.9</v>
      </c>
      <c r="E48" s="290">
        <f>D48/C48*100</f>
        <v>107.82352132889554</v>
      </c>
      <c r="F48" s="291"/>
      <c r="G48" s="292"/>
      <c r="H48" s="292"/>
    </row>
    <row r="49" spans="1:8" ht="37.5" x14ac:dyDescent="0.3">
      <c r="A49" s="293" t="s">
        <v>947</v>
      </c>
      <c r="B49" s="294" t="s">
        <v>948</v>
      </c>
      <c r="C49" s="295">
        <f>C50+C55</f>
        <v>6690.7</v>
      </c>
      <c r="D49" s="295">
        <f>D50+D55</f>
        <v>6449.3</v>
      </c>
      <c r="E49" s="295">
        <f>D49/C49*100</f>
        <v>96.392006815430378</v>
      </c>
      <c r="F49" s="296"/>
      <c r="G49" s="297"/>
      <c r="H49" s="297"/>
    </row>
    <row r="50" spans="1:8" ht="72" hidden="1" x14ac:dyDescent="0.35">
      <c r="A50" s="303" t="s">
        <v>949</v>
      </c>
      <c r="B50" s="304" t="s">
        <v>950</v>
      </c>
      <c r="C50" s="305">
        <f>C51+C52+C53</f>
        <v>5864.0999999999995</v>
      </c>
      <c r="D50" s="305">
        <f t="shared" ref="D50" si="7">D51+D52+D53</f>
        <v>5872</v>
      </c>
      <c r="E50" s="305">
        <f>D50/C50*100</f>
        <v>100.13471803004725</v>
      </c>
      <c r="F50" s="301"/>
      <c r="G50" s="302"/>
      <c r="H50" s="302"/>
    </row>
    <row r="51" spans="1:8" ht="75" x14ac:dyDescent="0.3">
      <c r="A51" s="303" t="s">
        <v>951</v>
      </c>
      <c r="B51" s="304" t="s">
        <v>952</v>
      </c>
      <c r="C51" s="300">
        <v>5227.8999999999996</v>
      </c>
      <c r="D51" s="300">
        <v>5145.3</v>
      </c>
      <c r="E51" s="305">
        <f t="shared" ref="E51:E55" si="8">D51/C51*100</f>
        <v>98.420015685074318</v>
      </c>
      <c r="F51" s="301"/>
      <c r="G51" s="302"/>
      <c r="H51" s="302"/>
    </row>
    <row r="52" spans="1:8" ht="75" x14ac:dyDescent="0.3">
      <c r="A52" s="303" t="s">
        <v>953</v>
      </c>
      <c r="B52" s="304" t="s">
        <v>954</v>
      </c>
      <c r="C52" s="300">
        <v>189.5</v>
      </c>
      <c r="D52" s="300">
        <v>189.5</v>
      </c>
      <c r="E52" s="305">
        <f t="shared" si="8"/>
        <v>100</v>
      </c>
      <c r="F52" s="311"/>
      <c r="G52" s="302"/>
      <c r="H52" s="302"/>
    </row>
    <row r="53" spans="1:8" ht="56.25" x14ac:dyDescent="0.3">
      <c r="A53" s="303" t="s">
        <v>955</v>
      </c>
      <c r="B53" s="304" t="s">
        <v>956</v>
      </c>
      <c r="C53" s="305">
        <v>446.7</v>
      </c>
      <c r="D53" s="305">
        <v>537.20000000000005</v>
      </c>
      <c r="E53" s="305">
        <f t="shared" si="8"/>
        <v>120.25968211327513</v>
      </c>
      <c r="F53" s="311"/>
      <c r="G53" s="302"/>
      <c r="H53" s="302"/>
    </row>
    <row r="54" spans="1:8" ht="72" hidden="1" x14ac:dyDescent="0.35">
      <c r="A54" s="303" t="s">
        <v>957</v>
      </c>
      <c r="B54" s="304" t="s">
        <v>958</v>
      </c>
      <c r="C54" s="305">
        <f>C55</f>
        <v>826.6</v>
      </c>
      <c r="D54" s="305">
        <f>D55</f>
        <v>577.29999999999995</v>
      </c>
      <c r="E54" s="305">
        <f t="shared" si="8"/>
        <v>69.840309702395345</v>
      </c>
      <c r="F54" s="301"/>
      <c r="G54" s="302"/>
      <c r="H54" s="302"/>
    </row>
    <row r="55" spans="1:8" ht="75" x14ac:dyDescent="0.3">
      <c r="A55" s="303" t="s">
        <v>959</v>
      </c>
      <c r="B55" s="304" t="s">
        <v>960</v>
      </c>
      <c r="C55" s="305">
        <v>826.6</v>
      </c>
      <c r="D55" s="300">
        <v>577.29999999999995</v>
      </c>
      <c r="E55" s="305">
        <f t="shared" si="8"/>
        <v>69.840309702395345</v>
      </c>
      <c r="F55" s="301"/>
      <c r="G55" s="302"/>
      <c r="H55" s="302"/>
    </row>
    <row r="56" spans="1:8" ht="18.75" x14ac:dyDescent="0.3">
      <c r="A56" s="293" t="s">
        <v>961</v>
      </c>
      <c r="B56" s="294" t="s">
        <v>962</v>
      </c>
      <c r="C56" s="295">
        <f>C57</f>
        <v>151.5</v>
      </c>
      <c r="D56" s="295">
        <f>D57</f>
        <v>158.60000000000002</v>
      </c>
      <c r="E56" s="295">
        <f>D56/C56*100</f>
        <v>104.68646864686471</v>
      </c>
      <c r="F56" s="296"/>
      <c r="G56" s="297"/>
      <c r="H56" s="297"/>
    </row>
    <row r="57" spans="1:8" ht="18.75" x14ac:dyDescent="0.3">
      <c r="A57" s="303" t="s">
        <v>963</v>
      </c>
      <c r="B57" s="304" t="s">
        <v>964</v>
      </c>
      <c r="C57" s="305">
        <v>151.5</v>
      </c>
      <c r="D57" s="305">
        <f>D58+D59+D60</f>
        <v>158.60000000000002</v>
      </c>
      <c r="E57" s="305">
        <f>D57/C57*100</f>
        <v>104.68646864686471</v>
      </c>
      <c r="F57" s="301"/>
      <c r="G57" s="302"/>
      <c r="H57" s="302"/>
    </row>
    <row r="58" spans="1:8" ht="18" hidden="1" x14ac:dyDescent="0.35">
      <c r="A58" s="303" t="s">
        <v>965</v>
      </c>
      <c r="B58" s="304" t="s">
        <v>966</v>
      </c>
      <c r="C58" s="305">
        <v>151</v>
      </c>
      <c r="D58" s="305">
        <v>139.30000000000001</v>
      </c>
      <c r="E58" s="305">
        <f t="shared" ref="E58:E60" si="9">D58/C58*100</f>
        <v>92.25165562913908</v>
      </c>
      <c r="F58" s="301"/>
      <c r="G58" s="302"/>
      <c r="H58" s="302"/>
    </row>
    <row r="59" spans="1:8" ht="18" hidden="1" x14ac:dyDescent="0.35">
      <c r="A59" s="303" t="s">
        <v>967</v>
      </c>
      <c r="B59" s="304" t="s">
        <v>968</v>
      </c>
      <c r="C59" s="305">
        <v>0.5</v>
      </c>
      <c r="D59" s="305">
        <v>0.5</v>
      </c>
      <c r="E59" s="305">
        <f t="shared" si="9"/>
        <v>100</v>
      </c>
      <c r="F59" s="301"/>
      <c r="G59" s="302"/>
      <c r="H59" s="302"/>
    </row>
    <row r="60" spans="1:8" ht="18" hidden="1" x14ac:dyDescent="0.35">
      <c r="A60" s="303" t="s">
        <v>969</v>
      </c>
      <c r="B60" s="304" t="s">
        <v>970</v>
      </c>
      <c r="C60" s="305">
        <v>0</v>
      </c>
      <c r="D60" s="305">
        <v>18.8</v>
      </c>
      <c r="E60" s="305" t="e">
        <f t="shared" si="9"/>
        <v>#DIV/0!</v>
      </c>
      <c r="F60" s="301"/>
      <c r="G60" s="302"/>
      <c r="H60" s="302"/>
    </row>
    <row r="61" spans="1:8" ht="37.5" x14ac:dyDescent="0.3">
      <c r="A61" s="293" t="s">
        <v>971</v>
      </c>
      <c r="B61" s="294" t="s">
        <v>972</v>
      </c>
      <c r="C61" s="295">
        <f>C62+C64</f>
        <v>16820</v>
      </c>
      <c r="D61" s="295">
        <f>D62+D64</f>
        <v>18459.2</v>
      </c>
      <c r="E61" s="295">
        <f>D61/C61*100</f>
        <v>109.74554102259215</v>
      </c>
      <c r="F61" s="296"/>
      <c r="G61" s="297"/>
      <c r="H61" s="297"/>
    </row>
    <row r="62" spans="1:8" ht="18" hidden="1" x14ac:dyDescent="0.35">
      <c r="A62" s="303" t="s">
        <v>973</v>
      </c>
      <c r="B62" s="304" t="s">
        <v>974</v>
      </c>
      <c r="C62" s="305">
        <f>C63</f>
        <v>13580</v>
      </c>
      <c r="D62" s="305">
        <f>D63</f>
        <v>14105.7</v>
      </c>
      <c r="E62" s="305">
        <f>D62/C62*100</f>
        <v>103.87113402061856</v>
      </c>
      <c r="F62" s="301"/>
      <c r="G62" s="302"/>
      <c r="H62" s="302"/>
    </row>
    <row r="63" spans="1:8" ht="37.5" x14ac:dyDescent="0.3">
      <c r="A63" s="303" t="s">
        <v>975</v>
      </c>
      <c r="B63" s="304" t="s">
        <v>976</v>
      </c>
      <c r="C63" s="305">
        <v>13580</v>
      </c>
      <c r="D63" s="300">
        <v>14105.7</v>
      </c>
      <c r="E63" s="305">
        <f t="shared" ref="E63:E66" si="10">D63/C63*100</f>
        <v>103.87113402061856</v>
      </c>
      <c r="F63" s="301"/>
      <c r="G63" s="302"/>
      <c r="H63" s="302"/>
    </row>
    <row r="64" spans="1:8" ht="18" hidden="1" x14ac:dyDescent="0.35">
      <c r="A64" s="303" t="s">
        <v>977</v>
      </c>
      <c r="B64" s="304" t="s">
        <v>978</v>
      </c>
      <c r="C64" s="305">
        <f>C65+C66</f>
        <v>3240</v>
      </c>
      <c r="D64" s="305">
        <f>D65+D66</f>
        <v>4353.5</v>
      </c>
      <c r="E64" s="305">
        <f t="shared" si="10"/>
        <v>134.36728395061726</v>
      </c>
      <c r="F64" s="301"/>
      <c r="G64" s="302"/>
      <c r="H64" s="302"/>
    </row>
    <row r="65" spans="1:8" ht="37.5" x14ac:dyDescent="0.3">
      <c r="A65" s="303" t="s">
        <v>979</v>
      </c>
      <c r="B65" s="304" t="s">
        <v>980</v>
      </c>
      <c r="C65" s="305">
        <v>790.7</v>
      </c>
      <c r="D65" s="305">
        <v>972</v>
      </c>
      <c r="E65" s="305">
        <f t="shared" si="10"/>
        <v>122.92905020867586</v>
      </c>
      <c r="F65" s="301"/>
      <c r="G65" s="302"/>
      <c r="H65" s="302"/>
    </row>
    <row r="66" spans="1:8" ht="18.75" x14ac:dyDescent="0.3">
      <c r="A66" s="303" t="s">
        <v>981</v>
      </c>
      <c r="B66" s="304" t="s">
        <v>982</v>
      </c>
      <c r="C66" s="305">
        <v>2449.3000000000002</v>
      </c>
      <c r="D66" s="305">
        <v>3381.5</v>
      </c>
      <c r="E66" s="305">
        <f t="shared" si="10"/>
        <v>138.0598538357898</v>
      </c>
      <c r="F66" s="301"/>
      <c r="G66" s="302"/>
      <c r="H66" s="302"/>
    </row>
    <row r="67" spans="1:8" ht="37.5" x14ac:dyDescent="0.3">
      <c r="A67" s="293" t="s">
        <v>983</v>
      </c>
      <c r="B67" s="294" t="s">
        <v>984</v>
      </c>
      <c r="C67" s="306">
        <v>1647.3</v>
      </c>
      <c r="D67" s="306">
        <v>1921</v>
      </c>
      <c r="E67" s="295">
        <f>D67/C67*100</f>
        <v>116.61506707946336</v>
      </c>
      <c r="F67" s="296"/>
      <c r="G67" s="297"/>
      <c r="H67" s="297"/>
    </row>
    <row r="68" spans="1:8" ht="90" hidden="1" x14ac:dyDescent="0.35">
      <c r="A68" s="298" t="s">
        <v>985</v>
      </c>
      <c r="B68" s="299" t="s">
        <v>986</v>
      </c>
      <c r="C68" s="300">
        <f t="shared" ref="C68:D68" si="11">C69</f>
        <v>0</v>
      </c>
      <c r="D68" s="300">
        <f t="shared" si="11"/>
        <v>69.8</v>
      </c>
      <c r="E68" s="300" t="e">
        <f>D68/C68*100</f>
        <v>#DIV/0!</v>
      </c>
      <c r="F68" s="308"/>
      <c r="G68" s="310"/>
      <c r="H68" s="310"/>
    </row>
    <row r="69" spans="1:8" ht="90" hidden="1" x14ac:dyDescent="0.35">
      <c r="A69" s="298" t="s">
        <v>987</v>
      </c>
      <c r="B69" s="299" t="s">
        <v>988</v>
      </c>
      <c r="C69" s="312">
        <v>0</v>
      </c>
      <c r="D69" s="312">
        <v>69.8</v>
      </c>
      <c r="E69" s="300" t="e">
        <f t="shared" ref="E69:E72" si="12">D69/C69*100</f>
        <v>#DIV/0!</v>
      </c>
      <c r="F69" s="313"/>
      <c r="G69" s="314"/>
      <c r="H69" s="314"/>
    </row>
    <row r="70" spans="1:8" ht="36" hidden="1" x14ac:dyDescent="0.35">
      <c r="A70" s="303" t="s">
        <v>989</v>
      </c>
      <c r="B70" s="304" t="s">
        <v>990</v>
      </c>
      <c r="C70" s="300">
        <f>C71</f>
        <v>238</v>
      </c>
      <c r="D70" s="300">
        <f>D71+D72</f>
        <v>155.5</v>
      </c>
      <c r="E70" s="300">
        <f t="shared" si="12"/>
        <v>65.336134453781511</v>
      </c>
      <c r="F70" s="301"/>
      <c r="G70" s="302"/>
      <c r="H70" s="302"/>
    </row>
    <row r="71" spans="1:8" ht="37.5" x14ac:dyDescent="0.3">
      <c r="A71" s="303" t="s">
        <v>991</v>
      </c>
      <c r="B71" s="304" t="s">
        <v>992</v>
      </c>
      <c r="C71" s="300">
        <v>238</v>
      </c>
      <c r="D71" s="300">
        <v>133</v>
      </c>
      <c r="E71" s="300">
        <f t="shared" si="12"/>
        <v>55.882352941176471</v>
      </c>
      <c r="F71" s="301"/>
      <c r="G71" s="302"/>
      <c r="H71" s="302"/>
    </row>
    <row r="72" spans="1:8" ht="56.25" x14ac:dyDescent="0.3">
      <c r="A72" s="303" t="s">
        <v>993</v>
      </c>
      <c r="B72" s="304" t="s">
        <v>994</v>
      </c>
      <c r="C72" s="300">
        <v>0</v>
      </c>
      <c r="D72" s="300">
        <v>22.5</v>
      </c>
      <c r="E72" s="300" t="e">
        <f t="shared" si="12"/>
        <v>#DIV/0!</v>
      </c>
      <c r="F72" s="301"/>
      <c r="G72" s="302"/>
      <c r="H72" s="302"/>
    </row>
    <row r="73" spans="1:8" ht="18.75" x14ac:dyDescent="0.3">
      <c r="A73" s="293" t="s">
        <v>995</v>
      </c>
      <c r="B73" s="294" t="s">
        <v>996</v>
      </c>
      <c r="C73" s="295">
        <f>SUM(C74:C86)</f>
        <v>889.7</v>
      </c>
      <c r="D73" s="295">
        <f>SUM(D74:D92)</f>
        <v>1260.8</v>
      </c>
      <c r="E73" s="295">
        <f>D73/C73*100</f>
        <v>141.71068899629086</v>
      </c>
      <c r="F73" s="296"/>
      <c r="G73" s="297"/>
      <c r="H73" s="297"/>
    </row>
    <row r="74" spans="1:8" ht="72" hidden="1" x14ac:dyDescent="0.35">
      <c r="A74" s="303" t="s">
        <v>997</v>
      </c>
      <c r="B74" s="304" t="s">
        <v>998</v>
      </c>
      <c r="C74" s="305">
        <v>35.4</v>
      </c>
      <c r="D74" s="305">
        <v>60.4</v>
      </c>
      <c r="E74" s="305">
        <f>D74/C74*100</f>
        <v>170.62146892655369</v>
      </c>
      <c r="F74" s="301"/>
      <c r="G74" s="302"/>
      <c r="H74" s="302"/>
    </row>
    <row r="75" spans="1:8" ht="108" hidden="1" x14ac:dyDescent="0.35">
      <c r="A75" s="303" t="s">
        <v>999</v>
      </c>
      <c r="B75" s="304" t="s">
        <v>1000</v>
      </c>
      <c r="C75" s="305">
        <v>250.1</v>
      </c>
      <c r="D75" s="305">
        <v>279.10000000000002</v>
      </c>
      <c r="E75" s="305">
        <f t="shared" ref="E75:E94" si="13">D75/C75*100</f>
        <v>111.59536185525792</v>
      </c>
      <c r="F75" s="301"/>
      <c r="G75" s="302"/>
      <c r="H75" s="302"/>
    </row>
    <row r="76" spans="1:8" ht="90" hidden="1" x14ac:dyDescent="0.35">
      <c r="A76" s="303" t="s">
        <v>1001</v>
      </c>
      <c r="B76" s="304" t="s">
        <v>1002</v>
      </c>
      <c r="C76" s="305">
        <v>94.5</v>
      </c>
      <c r="D76" s="305">
        <v>50</v>
      </c>
      <c r="E76" s="305">
        <f t="shared" si="13"/>
        <v>52.910052910052904</v>
      </c>
      <c r="F76" s="301"/>
      <c r="G76" s="302"/>
      <c r="H76" s="302"/>
    </row>
    <row r="77" spans="1:8" ht="72" hidden="1" x14ac:dyDescent="0.35">
      <c r="A77" s="303" t="s">
        <v>1003</v>
      </c>
      <c r="B77" s="304" t="s">
        <v>1004</v>
      </c>
      <c r="C77" s="305">
        <v>0</v>
      </c>
      <c r="D77" s="305">
        <v>75</v>
      </c>
      <c r="E77" s="305" t="e">
        <f t="shared" si="13"/>
        <v>#DIV/0!</v>
      </c>
      <c r="F77" s="301"/>
      <c r="G77" s="302"/>
      <c r="H77" s="302"/>
    </row>
    <row r="78" spans="1:8" ht="90" hidden="1" x14ac:dyDescent="0.35">
      <c r="A78" s="303" t="s">
        <v>1005</v>
      </c>
      <c r="B78" s="304" t="s">
        <v>1006</v>
      </c>
      <c r="C78" s="305">
        <v>95.1</v>
      </c>
      <c r="D78" s="305">
        <v>57.3</v>
      </c>
      <c r="E78" s="305">
        <f t="shared" si="13"/>
        <v>60.252365930599375</v>
      </c>
      <c r="F78" s="301"/>
      <c r="G78" s="302"/>
      <c r="H78" s="302"/>
    </row>
    <row r="79" spans="1:8" ht="90" hidden="1" x14ac:dyDescent="0.35">
      <c r="A79" s="303" t="s">
        <v>1007</v>
      </c>
      <c r="B79" s="304" t="s">
        <v>1008</v>
      </c>
      <c r="C79" s="305">
        <v>0</v>
      </c>
      <c r="D79" s="305">
        <v>0</v>
      </c>
      <c r="E79" s="305" t="e">
        <f t="shared" si="13"/>
        <v>#DIV/0!</v>
      </c>
      <c r="F79" s="301"/>
      <c r="G79" s="302"/>
      <c r="H79" s="302"/>
    </row>
    <row r="80" spans="1:8" ht="108" hidden="1" x14ac:dyDescent="0.35">
      <c r="A80" s="303" t="s">
        <v>1009</v>
      </c>
      <c r="B80" s="304" t="s">
        <v>1010</v>
      </c>
      <c r="C80" s="305">
        <v>1.8</v>
      </c>
      <c r="D80" s="305">
        <v>5</v>
      </c>
      <c r="E80" s="305">
        <f t="shared" si="13"/>
        <v>277.77777777777777</v>
      </c>
      <c r="F80" s="301"/>
      <c r="G80" s="302"/>
      <c r="H80" s="302"/>
    </row>
    <row r="81" spans="1:8" ht="90" hidden="1" x14ac:dyDescent="0.35">
      <c r="A81" s="303" t="s">
        <v>1011</v>
      </c>
      <c r="B81" s="304" t="s">
        <v>1012</v>
      </c>
      <c r="C81" s="305">
        <v>19</v>
      </c>
      <c r="D81" s="305">
        <v>3.7</v>
      </c>
      <c r="E81" s="305">
        <f t="shared" si="13"/>
        <v>19.473684210526319</v>
      </c>
      <c r="F81" s="301"/>
      <c r="G81" s="302"/>
      <c r="H81" s="302"/>
    </row>
    <row r="82" spans="1:8" ht="90" hidden="1" x14ac:dyDescent="0.35">
      <c r="A82" s="303" t="s">
        <v>1013</v>
      </c>
      <c r="B82" s="304" t="s">
        <v>1014</v>
      </c>
      <c r="C82" s="305">
        <v>0</v>
      </c>
      <c r="D82" s="305">
        <v>40</v>
      </c>
      <c r="E82" s="305" t="e">
        <f t="shared" si="13"/>
        <v>#DIV/0!</v>
      </c>
      <c r="F82" s="301"/>
      <c r="G82" s="302"/>
      <c r="H82" s="302"/>
    </row>
    <row r="83" spans="1:8" ht="72" hidden="1" x14ac:dyDescent="0.35">
      <c r="A83" s="303" t="s">
        <v>1015</v>
      </c>
      <c r="B83" s="304" t="s">
        <v>1016</v>
      </c>
      <c r="C83" s="305">
        <v>1.7</v>
      </c>
      <c r="D83" s="305">
        <v>3.6</v>
      </c>
      <c r="E83" s="305">
        <f t="shared" si="13"/>
        <v>211.76470588235296</v>
      </c>
      <c r="F83" s="301"/>
      <c r="G83" s="302"/>
      <c r="H83" s="302"/>
    </row>
    <row r="84" spans="1:8" ht="72" hidden="1" x14ac:dyDescent="0.35">
      <c r="A84" s="303" t="s">
        <v>1017</v>
      </c>
      <c r="B84" s="304" t="s">
        <v>1018</v>
      </c>
      <c r="C84" s="305">
        <v>98.9</v>
      </c>
      <c r="D84" s="305">
        <v>140</v>
      </c>
      <c r="E84" s="305">
        <f t="shared" si="13"/>
        <v>141.55712841253791</v>
      </c>
      <c r="F84" s="301"/>
      <c r="G84" s="302"/>
      <c r="H84" s="302"/>
    </row>
    <row r="85" spans="1:8" ht="90" hidden="1" x14ac:dyDescent="0.35">
      <c r="A85" s="303" t="s">
        <v>1019</v>
      </c>
      <c r="B85" s="304" t="s">
        <v>1020</v>
      </c>
      <c r="C85" s="305">
        <v>192.6</v>
      </c>
      <c r="D85" s="305">
        <v>183.5</v>
      </c>
      <c r="E85" s="305">
        <f t="shared" si="13"/>
        <v>95.275181723779852</v>
      </c>
      <c r="F85" s="301"/>
      <c r="G85" s="302"/>
      <c r="H85" s="302"/>
    </row>
    <row r="86" spans="1:8" ht="126" hidden="1" x14ac:dyDescent="0.35">
      <c r="A86" s="303" t="s">
        <v>1021</v>
      </c>
      <c r="B86" s="304" t="s">
        <v>1022</v>
      </c>
      <c r="C86" s="305">
        <v>100.6</v>
      </c>
      <c r="D86" s="305">
        <v>24.5</v>
      </c>
      <c r="E86" s="305">
        <f t="shared" si="13"/>
        <v>24.353876739562626</v>
      </c>
      <c r="F86" s="301"/>
      <c r="G86" s="302"/>
      <c r="H86" s="302"/>
    </row>
    <row r="87" spans="1:8" ht="36" hidden="1" x14ac:dyDescent="0.35">
      <c r="A87" s="303" t="s">
        <v>1023</v>
      </c>
      <c r="B87" s="304" t="s">
        <v>1024</v>
      </c>
      <c r="C87" s="305">
        <v>0</v>
      </c>
      <c r="D87" s="305">
        <v>7.3</v>
      </c>
      <c r="E87" s="305" t="e">
        <f t="shared" si="13"/>
        <v>#DIV/0!</v>
      </c>
      <c r="F87" s="301"/>
      <c r="G87" s="302"/>
      <c r="H87" s="302"/>
    </row>
    <row r="88" spans="1:8" ht="72" hidden="1" x14ac:dyDescent="0.35">
      <c r="A88" s="303" t="s">
        <v>1025</v>
      </c>
      <c r="B88" s="304" t="s">
        <v>1026</v>
      </c>
      <c r="C88" s="305">
        <v>0</v>
      </c>
      <c r="D88" s="305">
        <v>32.5</v>
      </c>
      <c r="E88" s="305" t="e">
        <f t="shared" si="13"/>
        <v>#DIV/0!</v>
      </c>
      <c r="F88" s="301"/>
      <c r="G88" s="302"/>
      <c r="H88" s="302"/>
    </row>
    <row r="89" spans="1:8" ht="54" hidden="1" x14ac:dyDescent="0.35">
      <c r="A89" s="303" t="s">
        <v>1027</v>
      </c>
      <c r="B89" s="304" t="s">
        <v>1028</v>
      </c>
      <c r="C89" s="305">
        <v>0</v>
      </c>
      <c r="D89" s="305">
        <v>1.7</v>
      </c>
      <c r="E89" s="305" t="e">
        <f t="shared" si="13"/>
        <v>#DIV/0!</v>
      </c>
      <c r="F89" s="301"/>
      <c r="G89" s="302"/>
      <c r="H89" s="302"/>
    </row>
    <row r="90" spans="1:8" ht="54" hidden="1" x14ac:dyDescent="0.35">
      <c r="A90" s="303" t="s">
        <v>1029</v>
      </c>
      <c r="B90" s="304" t="s">
        <v>1030</v>
      </c>
      <c r="C90" s="305">
        <v>0</v>
      </c>
      <c r="D90" s="305">
        <v>5.3</v>
      </c>
      <c r="E90" s="305" t="e">
        <f t="shared" si="13"/>
        <v>#DIV/0!</v>
      </c>
      <c r="F90" s="301"/>
      <c r="G90" s="302"/>
      <c r="H90" s="302"/>
    </row>
    <row r="91" spans="1:8" ht="54" hidden="1" x14ac:dyDescent="0.35">
      <c r="A91" s="303" t="s">
        <v>1031</v>
      </c>
      <c r="B91" s="304" t="s">
        <v>1032</v>
      </c>
      <c r="C91" s="305">
        <v>0</v>
      </c>
      <c r="D91" s="305">
        <v>3</v>
      </c>
      <c r="E91" s="305" t="e">
        <f t="shared" si="13"/>
        <v>#DIV/0!</v>
      </c>
      <c r="F91" s="301"/>
      <c r="G91" s="302"/>
      <c r="H91" s="302"/>
    </row>
    <row r="92" spans="1:8" ht="90" hidden="1" x14ac:dyDescent="0.35">
      <c r="A92" s="303" t="s">
        <v>1033</v>
      </c>
      <c r="B92" s="304" t="s">
        <v>1034</v>
      </c>
      <c r="C92" s="305">
        <v>0</v>
      </c>
      <c r="D92" s="305">
        <v>288.89999999999998</v>
      </c>
      <c r="E92" s="305" t="e">
        <f t="shared" si="13"/>
        <v>#DIV/0!</v>
      </c>
      <c r="F92" s="301"/>
      <c r="G92" s="302"/>
      <c r="H92" s="302"/>
    </row>
    <row r="93" spans="1:8" s="315" customFormat="1" ht="18.75" x14ac:dyDescent="0.3">
      <c r="A93" s="293" t="s">
        <v>1035</v>
      </c>
      <c r="B93" s="294" t="s">
        <v>1036</v>
      </c>
      <c r="C93" s="295">
        <f>C94</f>
        <v>0</v>
      </c>
      <c r="D93" s="295">
        <f>D94</f>
        <v>0</v>
      </c>
      <c r="E93" s="305" t="e">
        <f t="shared" si="13"/>
        <v>#DIV/0!</v>
      </c>
      <c r="F93" s="296"/>
      <c r="G93" s="297"/>
      <c r="H93" s="297"/>
    </row>
    <row r="94" spans="1:8" ht="18.75" x14ac:dyDescent="0.3">
      <c r="A94" s="303" t="s">
        <v>1037</v>
      </c>
      <c r="B94" s="304" t="s">
        <v>1038</v>
      </c>
      <c r="C94" s="305">
        <v>0</v>
      </c>
      <c r="D94" s="305">
        <v>0</v>
      </c>
      <c r="E94" s="305" t="e">
        <f t="shared" si="13"/>
        <v>#DIV/0!</v>
      </c>
      <c r="F94" s="301"/>
      <c r="G94" s="302"/>
      <c r="H94" s="302"/>
    </row>
    <row r="95" spans="1:8" ht="18.75" x14ac:dyDescent="0.3">
      <c r="A95" s="316" t="s">
        <v>1039</v>
      </c>
      <c r="B95" s="284" t="s">
        <v>1040</v>
      </c>
      <c r="C95" s="285">
        <f>C96</f>
        <v>769542.1</v>
      </c>
      <c r="D95" s="285">
        <f t="shared" ref="D95" si="14">D96</f>
        <v>769542.1</v>
      </c>
      <c r="E95" s="285">
        <f>D95/C95*100</f>
        <v>100</v>
      </c>
      <c r="F95" s="317"/>
    </row>
    <row r="96" spans="1:8" ht="37.5" x14ac:dyDescent="0.3">
      <c r="A96" s="318" t="s">
        <v>1041</v>
      </c>
      <c r="B96" s="319" t="s">
        <v>1042</v>
      </c>
      <c r="C96" s="320">
        <f>C97+C102+C140+C168+C178+C180+C177</f>
        <v>769542.1</v>
      </c>
      <c r="D96" s="320">
        <f>D97+D102+D140+D168+D178+D180+D177</f>
        <v>769542.1</v>
      </c>
      <c r="E96" s="320">
        <f>D96/C96*100</f>
        <v>100</v>
      </c>
      <c r="F96" s="321"/>
    </row>
    <row r="97" spans="1:6" ht="18.75" x14ac:dyDescent="0.25">
      <c r="A97" s="322" t="s">
        <v>1043</v>
      </c>
      <c r="B97" s="294" t="s">
        <v>1044</v>
      </c>
      <c r="C97" s="306">
        <v>290302.2</v>
      </c>
      <c r="D97" s="306">
        <v>290302.2</v>
      </c>
      <c r="E97" s="306">
        <f>D97/C97*100</f>
        <v>100</v>
      </c>
      <c r="F97" s="323"/>
    </row>
    <row r="98" spans="1:6" ht="34.9" hidden="1" x14ac:dyDescent="0.3">
      <c r="A98" s="293" t="s">
        <v>1045</v>
      </c>
      <c r="B98" s="294" t="s">
        <v>1046</v>
      </c>
      <c r="C98" s="324">
        <v>262237.09999999998</v>
      </c>
      <c r="D98" s="324"/>
      <c r="E98" s="306">
        <f t="shared" ref="E98:E161" si="15">D98/C98*100</f>
        <v>0</v>
      </c>
      <c r="F98" s="323"/>
    </row>
    <row r="99" spans="1:6" ht="34.9" hidden="1" x14ac:dyDescent="0.3">
      <c r="A99" s="293" t="s">
        <v>1047</v>
      </c>
      <c r="B99" s="325" t="s">
        <v>1048</v>
      </c>
      <c r="C99" s="324">
        <v>5245.2</v>
      </c>
      <c r="D99" s="324"/>
      <c r="E99" s="306">
        <f t="shared" si="15"/>
        <v>0</v>
      </c>
      <c r="F99" s="323"/>
    </row>
    <row r="100" spans="1:6" ht="18" hidden="1" x14ac:dyDescent="0.3">
      <c r="A100" s="293"/>
      <c r="B100" s="299" t="s">
        <v>291</v>
      </c>
      <c r="C100" s="324"/>
      <c r="D100" s="324"/>
      <c r="E100" s="306" t="e">
        <f t="shared" si="15"/>
        <v>#DIV/0!</v>
      </c>
      <c r="F100" s="323"/>
    </row>
    <row r="101" spans="1:6" ht="36" hidden="1" x14ac:dyDescent="0.3">
      <c r="A101" s="293"/>
      <c r="B101" s="299" t="s">
        <v>1049</v>
      </c>
      <c r="C101" s="326">
        <v>5245.2</v>
      </c>
      <c r="D101" s="326"/>
      <c r="E101" s="306">
        <f t="shared" si="15"/>
        <v>0</v>
      </c>
      <c r="F101" s="323"/>
    </row>
    <row r="102" spans="1:6" s="315" customFormat="1" ht="37.5" x14ac:dyDescent="0.25">
      <c r="A102" s="293" t="s">
        <v>1050</v>
      </c>
      <c r="B102" s="294" t="s">
        <v>1051</v>
      </c>
      <c r="C102" s="295">
        <v>161476.29999999999</v>
      </c>
      <c r="D102" s="295">
        <v>161476.29999999999</v>
      </c>
      <c r="E102" s="306">
        <f t="shared" si="15"/>
        <v>100</v>
      </c>
      <c r="F102" s="327"/>
    </row>
    <row r="103" spans="1:6" ht="34.9" hidden="1" x14ac:dyDescent="0.3">
      <c r="A103" s="328" t="s">
        <v>1052</v>
      </c>
      <c r="B103" s="325" t="s">
        <v>1053</v>
      </c>
      <c r="C103" s="306">
        <v>2520</v>
      </c>
      <c r="D103" s="306">
        <v>2520</v>
      </c>
      <c r="E103" s="306">
        <f t="shared" si="15"/>
        <v>100</v>
      </c>
      <c r="F103" s="323"/>
    </row>
    <row r="104" spans="1:6" ht="34.9" hidden="1" x14ac:dyDescent="0.3">
      <c r="A104" s="293" t="s">
        <v>1054</v>
      </c>
      <c r="B104" s="329" t="s">
        <v>1055</v>
      </c>
      <c r="C104" s="295">
        <f>C105</f>
        <v>660.1</v>
      </c>
      <c r="D104" s="295">
        <f t="shared" ref="D104" si="16">D105</f>
        <v>617.6</v>
      </c>
      <c r="E104" s="306">
        <f t="shared" si="15"/>
        <v>93.561581578548697</v>
      </c>
      <c r="F104" s="323"/>
    </row>
    <row r="105" spans="1:6" ht="36" hidden="1" x14ac:dyDescent="0.35">
      <c r="A105" s="303" t="s">
        <v>1056</v>
      </c>
      <c r="B105" s="330" t="s">
        <v>1057</v>
      </c>
      <c r="C105" s="305">
        <v>660.1</v>
      </c>
      <c r="D105" s="305">
        <v>617.6</v>
      </c>
      <c r="E105" s="306">
        <f t="shared" si="15"/>
        <v>93.561581578548697</v>
      </c>
      <c r="F105" s="323"/>
    </row>
    <row r="106" spans="1:6" ht="17.45" hidden="1" x14ac:dyDescent="0.3">
      <c r="A106" s="331" t="s">
        <v>1058</v>
      </c>
      <c r="B106" s="332" t="s">
        <v>1059</v>
      </c>
      <c r="C106" s="306">
        <v>300</v>
      </c>
      <c r="D106" s="306">
        <v>300</v>
      </c>
      <c r="E106" s="306">
        <f t="shared" si="15"/>
        <v>100</v>
      </c>
      <c r="F106" s="323"/>
    </row>
    <row r="107" spans="1:6" ht="18" hidden="1" x14ac:dyDescent="0.3">
      <c r="A107" s="333" t="s">
        <v>1060</v>
      </c>
      <c r="B107" s="334" t="s">
        <v>1061</v>
      </c>
      <c r="C107" s="305">
        <v>300</v>
      </c>
      <c r="D107" s="305">
        <v>300</v>
      </c>
      <c r="E107" s="306">
        <f t="shared" si="15"/>
        <v>100</v>
      </c>
      <c r="F107" s="323"/>
    </row>
    <row r="108" spans="1:6" ht="18" hidden="1" x14ac:dyDescent="0.3">
      <c r="A108" s="333"/>
      <c r="B108" s="334" t="s">
        <v>291</v>
      </c>
      <c r="C108" s="305"/>
      <c r="D108" s="305"/>
      <c r="E108" s="306" t="e">
        <f t="shared" si="15"/>
        <v>#DIV/0!</v>
      </c>
      <c r="F108" s="323"/>
    </row>
    <row r="109" spans="1:6" ht="18" hidden="1" x14ac:dyDescent="0.3">
      <c r="A109" s="333"/>
      <c r="B109" s="335" t="s">
        <v>1062</v>
      </c>
      <c r="C109" s="305">
        <v>200</v>
      </c>
      <c r="D109" s="305">
        <v>200</v>
      </c>
      <c r="E109" s="306">
        <f t="shared" si="15"/>
        <v>100</v>
      </c>
      <c r="F109" s="323"/>
    </row>
    <row r="110" spans="1:6" ht="18" hidden="1" x14ac:dyDescent="0.3">
      <c r="A110" s="303"/>
      <c r="B110" s="335" t="s">
        <v>1063</v>
      </c>
      <c r="C110" s="305">
        <v>100</v>
      </c>
      <c r="D110" s="305">
        <v>100</v>
      </c>
      <c r="E110" s="306">
        <f t="shared" si="15"/>
        <v>100</v>
      </c>
      <c r="F110" s="323"/>
    </row>
    <row r="111" spans="1:6" ht="34.9" hidden="1" x14ac:dyDescent="0.3">
      <c r="A111" s="331" t="s">
        <v>1064</v>
      </c>
      <c r="B111" s="332" t="s">
        <v>1065</v>
      </c>
      <c r="C111" s="295">
        <f>C112</f>
        <v>8834.9</v>
      </c>
      <c r="D111" s="295">
        <f t="shared" ref="D111" si="17">D112</f>
        <v>8834.9</v>
      </c>
      <c r="E111" s="306">
        <f t="shared" si="15"/>
        <v>100</v>
      </c>
      <c r="F111" s="323"/>
    </row>
    <row r="112" spans="1:6" ht="36" hidden="1" x14ac:dyDescent="0.3">
      <c r="A112" s="333" t="s">
        <v>1066</v>
      </c>
      <c r="B112" s="334" t="s">
        <v>1067</v>
      </c>
      <c r="C112" s="336">
        <v>8834.9</v>
      </c>
      <c r="D112" s="336">
        <v>8834.9</v>
      </c>
      <c r="E112" s="306">
        <f t="shared" si="15"/>
        <v>100</v>
      </c>
      <c r="F112" s="323"/>
    </row>
    <row r="113" spans="1:6" ht="17.45" hidden="1" x14ac:dyDescent="0.3">
      <c r="A113" s="293" t="s">
        <v>1068</v>
      </c>
      <c r="B113" s="329" t="s">
        <v>1069</v>
      </c>
      <c r="C113" s="295">
        <f>SUM(C114)</f>
        <v>4237</v>
      </c>
      <c r="D113" s="295">
        <f t="shared" ref="D113" si="18">SUM(D114)</f>
        <v>132012.20000000001</v>
      </c>
      <c r="E113" s="306">
        <f t="shared" si="15"/>
        <v>3115.6997875855559</v>
      </c>
      <c r="F113" s="323"/>
    </row>
    <row r="114" spans="1:6" ht="36" hidden="1" x14ac:dyDescent="0.35">
      <c r="A114" s="303" t="s">
        <v>1070</v>
      </c>
      <c r="B114" s="330" t="s">
        <v>1071</v>
      </c>
      <c r="C114" s="305">
        <f>SUM(C116:C117)</f>
        <v>4237</v>
      </c>
      <c r="D114" s="305">
        <f t="shared" ref="D114:D117" si="19">SUM(D116:D117)</f>
        <v>132012.20000000001</v>
      </c>
      <c r="E114" s="306">
        <f t="shared" si="15"/>
        <v>3115.6997875855559</v>
      </c>
      <c r="F114" s="323"/>
    </row>
    <row r="115" spans="1:6" ht="18" hidden="1" x14ac:dyDescent="0.35">
      <c r="A115" s="303"/>
      <c r="B115" s="330" t="s">
        <v>291</v>
      </c>
      <c r="C115" s="305"/>
      <c r="D115" s="305">
        <f t="shared" si="19"/>
        <v>132012.20000000001</v>
      </c>
      <c r="E115" s="306" t="e">
        <f t="shared" si="15"/>
        <v>#DIV/0!</v>
      </c>
      <c r="F115" s="323"/>
    </row>
    <row r="116" spans="1:6" ht="72" hidden="1" x14ac:dyDescent="0.3">
      <c r="A116" s="303"/>
      <c r="B116" s="304" t="s">
        <v>1072</v>
      </c>
      <c r="C116" s="305"/>
      <c r="D116" s="305">
        <f t="shared" si="19"/>
        <v>132012.20000000001</v>
      </c>
      <c r="E116" s="306" t="e">
        <f t="shared" si="15"/>
        <v>#DIV/0!</v>
      </c>
      <c r="F116" s="323"/>
    </row>
    <row r="117" spans="1:6" ht="54" hidden="1" x14ac:dyDescent="0.35">
      <c r="A117" s="303"/>
      <c r="B117" s="330" t="s">
        <v>1073</v>
      </c>
      <c r="C117" s="336">
        <v>4237</v>
      </c>
      <c r="D117" s="305">
        <f t="shared" si="19"/>
        <v>0</v>
      </c>
      <c r="E117" s="306">
        <f t="shared" si="15"/>
        <v>0</v>
      </c>
      <c r="F117" s="323"/>
    </row>
    <row r="118" spans="1:6" ht="17.45" hidden="1" x14ac:dyDescent="0.3">
      <c r="A118" s="337" t="s">
        <v>1074</v>
      </c>
      <c r="B118" s="338" t="s">
        <v>1075</v>
      </c>
      <c r="C118" s="306">
        <v>133112.5</v>
      </c>
      <c r="D118" s="306">
        <v>132012.20000000001</v>
      </c>
      <c r="E118" s="306">
        <f t="shared" si="15"/>
        <v>99.173405953610668</v>
      </c>
      <c r="F118" s="323"/>
    </row>
    <row r="119" spans="1:6" ht="18" hidden="1" x14ac:dyDescent="0.3">
      <c r="A119" s="339"/>
      <c r="B119" s="340" t="s">
        <v>291</v>
      </c>
      <c r="C119" s="305"/>
      <c r="D119" s="305"/>
      <c r="E119" s="306" t="e">
        <f t="shared" si="15"/>
        <v>#DIV/0!</v>
      </c>
      <c r="F119" s="323"/>
    </row>
    <row r="120" spans="1:6" ht="144" hidden="1" x14ac:dyDescent="0.3">
      <c r="A120" s="339"/>
      <c r="B120" s="340" t="s">
        <v>1076</v>
      </c>
      <c r="C120" s="336">
        <v>3883.5</v>
      </c>
      <c r="D120" s="336"/>
      <c r="E120" s="306">
        <f t="shared" si="15"/>
        <v>0</v>
      </c>
      <c r="F120" s="323"/>
    </row>
    <row r="121" spans="1:6" ht="54" hidden="1" x14ac:dyDescent="0.3">
      <c r="A121" s="339"/>
      <c r="B121" s="340" t="s">
        <v>1077</v>
      </c>
      <c r="C121" s="336">
        <v>134.9</v>
      </c>
      <c r="D121" s="336"/>
      <c r="E121" s="306">
        <f t="shared" si="15"/>
        <v>0</v>
      </c>
      <c r="F121" s="323"/>
    </row>
    <row r="122" spans="1:6" ht="54" hidden="1" x14ac:dyDescent="0.3">
      <c r="A122" s="303"/>
      <c r="B122" s="304" t="s">
        <v>1078</v>
      </c>
      <c r="C122" s="336" t="e">
        <f>SUM(#REF!)</f>
        <v>#REF!</v>
      </c>
      <c r="D122" s="336"/>
      <c r="E122" s="306" t="e">
        <f t="shared" si="15"/>
        <v>#REF!</v>
      </c>
      <c r="F122" s="323"/>
    </row>
    <row r="123" spans="1:6" ht="36" hidden="1" x14ac:dyDescent="0.3">
      <c r="A123" s="303"/>
      <c r="B123" s="304" t="s">
        <v>1079</v>
      </c>
      <c r="C123" s="336" t="e">
        <f>SUM(#REF!)</f>
        <v>#REF!</v>
      </c>
      <c r="D123" s="336"/>
      <c r="E123" s="306" t="e">
        <f t="shared" si="15"/>
        <v>#REF!</v>
      </c>
      <c r="F123" s="323"/>
    </row>
    <row r="124" spans="1:6" ht="72" hidden="1" x14ac:dyDescent="0.35">
      <c r="A124" s="303"/>
      <c r="B124" s="330" t="s">
        <v>1080</v>
      </c>
      <c r="C124" s="305" t="e">
        <f>A124+B124</f>
        <v>#VALUE!</v>
      </c>
      <c r="D124" s="305"/>
      <c r="E124" s="306" t="e">
        <f t="shared" si="15"/>
        <v>#VALUE!</v>
      </c>
      <c r="F124" s="323"/>
    </row>
    <row r="125" spans="1:6" ht="54" hidden="1" x14ac:dyDescent="0.3">
      <c r="A125" s="303"/>
      <c r="B125" s="304" t="s">
        <v>1081</v>
      </c>
      <c r="C125" s="336" t="e">
        <f>SUM(#REF!)</f>
        <v>#REF!</v>
      </c>
      <c r="D125" s="336"/>
      <c r="E125" s="306" t="e">
        <f t="shared" si="15"/>
        <v>#REF!</v>
      </c>
      <c r="F125" s="323"/>
    </row>
    <row r="126" spans="1:6" ht="36" hidden="1" x14ac:dyDescent="0.35">
      <c r="A126" s="303"/>
      <c r="B126" s="330" t="s">
        <v>1082</v>
      </c>
      <c r="C126" s="336">
        <v>111.6</v>
      </c>
      <c r="D126" s="336"/>
      <c r="E126" s="306">
        <f t="shared" si="15"/>
        <v>0</v>
      </c>
      <c r="F126" s="323"/>
    </row>
    <row r="127" spans="1:6" ht="36" hidden="1" x14ac:dyDescent="0.3">
      <c r="A127" s="298"/>
      <c r="B127" s="341" t="s">
        <v>1083</v>
      </c>
      <c r="C127" s="300">
        <f>2600+2713.5</f>
        <v>5313.5</v>
      </c>
      <c r="D127" s="300"/>
      <c r="E127" s="306">
        <f t="shared" si="15"/>
        <v>0</v>
      </c>
      <c r="F127" s="323"/>
    </row>
    <row r="128" spans="1:6" ht="18" hidden="1" x14ac:dyDescent="0.3">
      <c r="A128" s="298"/>
      <c r="B128" s="342" t="s">
        <v>1084</v>
      </c>
      <c r="C128" s="300">
        <v>0</v>
      </c>
      <c r="D128" s="300"/>
      <c r="E128" s="306" t="e">
        <f t="shared" si="15"/>
        <v>#DIV/0!</v>
      </c>
      <c r="F128" s="323"/>
    </row>
    <row r="129" spans="1:6" ht="31.15" hidden="1" x14ac:dyDescent="0.3">
      <c r="A129" s="298"/>
      <c r="B129" s="342" t="s">
        <v>1085</v>
      </c>
      <c r="C129" s="300" t="e">
        <f>SUM(#REF!)</f>
        <v>#REF!</v>
      </c>
      <c r="D129" s="300"/>
      <c r="E129" s="306" t="e">
        <f t="shared" si="15"/>
        <v>#REF!</v>
      </c>
      <c r="F129" s="323"/>
    </row>
    <row r="130" spans="1:6" ht="31.15" hidden="1" x14ac:dyDescent="0.3">
      <c r="A130" s="298"/>
      <c r="B130" s="342" t="s">
        <v>1086</v>
      </c>
      <c r="C130" s="300">
        <v>0</v>
      </c>
      <c r="D130" s="300"/>
      <c r="E130" s="306" t="e">
        <f t="shared" si="15"/>
        <v>#DIV/0!</v>
      </c>
      <c r="F130" s="323"/>
    </row>
    <row r="131" spans="1:6" ht="31.15" hidden="1" x14ac:dyDescent="0.3">
      <c r="A131" s="298"/>
      <c r="B131" s="342" t="s">
        <v>1087</v>
      </c>
      <c r="C131" s="300">
        <v>0</v>
      </c>
      <c r="D131" s="300"/>
      <c r="E131" s="306" t="e">
        <f t="shared" si="15"/>
        <v>#DIV/0!</v>
      </c>
      <c r="F131" s="323"/>
    </row>
    <row r="132" spans="1:6" ht="31.15" hidden="1" x14ac:dyDescent="0.3">
      <c r="A132" s="298"/>
      <c r="B132" s="342" t="s">
        <v>1088</v>
      </c>
      <c r="C132" s="300">
        <v>218.2</v>
      </c>
      <c r="D132" s="300"/>
      <c r="E132" s="306">
        <f t="shared" si="15"/>
        <v>0</v>
      </c>
      <c r="F132" s="323"/>
    </row>
    <row r="133" spans="1:6" ht="31.15" hidden="1" x14ac:dyDescent="0.3">
      <c r="A133" s="298"/>
      <c r="B133" s="342" t="s">
        <v>1089</v>
      </c>
      <c r="C133" s="300">
        <v>305</v>
      </c>
      <c r="D133" s="300"/>
      <c r="E133" s="306">
        <f t="shared" si="15"/>
        <v>0</v>
      </c>
      <c r="F133" s="323"/>
    </row>
    <row r="134" spans="1:6" ht="18" hidden="1" x14ac:dyDescent="0.3">
      <c r="A134" s="298"/>
      <c r="B134" s="342" t="s">
        <v>1090</v>
      </c>
      <c r="C134" s="300">
        <v>2500</v>
      </c>
      <c r="D134" s="300"/>
      <c r="E134" s="306">
        <f t="shared" si="15"/>
        <v>0</v>
      </c>
      <c r="F134" s="323"/>
    </row>
    <row r="135" spans="1:6" ht="18" hidden="1" x14ac:dyDescent="0.3">
      <c r="A135" s="298"/>
      <c r="B135" s="342" t="s">
        <v>1091</v>
      </c>
      <c r="C135" s="300">
        <v>500</v>
      </c>
      <c r="D135" s="300"/>
      <c r="E135" s="306">
        <f t="shared" si="15"/>
        <v>0</v>
      </c>
      <c r="F135" s="323"/>
    </row>
    <row r="136" spans="1:6" ht="31.15" hidden="1" x14ac:dyDescent="0.3">
      <c r="A136" s="298"/>
      <c r="B136" s="342" t="s">
        <v>1092</v>
      </c>
      <c r="C136" s="300">
        <v>1197</v>
      </c>
      <c r="D136" s="300"/>
      <c r="E136" s="306">
        <f t="shared" si="15"/>
        <v>0</v>
      </c>
      <c r="F136" s="323"/>
    </row>
    <row r="137" spans="1:6" ht="31.15" hidden="1" x14ac:dyDescent="0.3">
      <c r="A137" s="298"/>
      <c r="B137" s="342" t="s">
        <v>1093</v>
      </c>
      <c r="C137" s="300">
        <v>765</v>
      </c>
      <c r="D137" s="300"/>
      <c r="E137" s="306">
        <f t="shared" si="15"/>
        <v>0</v>
      </c>
      <c r="F137" s="323"/>
    </row>
    <row r="138" spans="1:6" ht="31.15" hidden="1" x14ac:dyDescent="0.3">
      <c r="A138" s="298"/>
      <c r="B138" s="342" t="s">
        <v>1094</v>
      </c>
      <c r="C138" s="300" t="e">
        <f>A138+B138</f>
        <v>#VALUE!</v>
      </c>
      <c r="D138" s="300"/>
      <c r="E138" s="306" t="e">
        <f t="shared" si="15"/>
        <v>#VALUE!</v>
      </c>
      <c r="F138" s="323"/>
    </row>
    <row r="139" spans="1:6" ht="18" hidden="1" x14ac:dyDescent="0.3">
      <c r="A139" s="298"/>
      <c r="B139" s="342" t="s">
        <v>1095</v>
      </c>
      <c r="C139" s="300" t="e">
        <f>A139+B139</f>
        <v>#VALUE!</v>
      </c>
      <c r="D139" s="300"/>
      <c r="E139" s="306" t="e">
        <f t="shared" si="15"/>
        <v>#VALUE!</v>
      </c>
      <c r="F139" s="323"/>
    </row>
    <row r="140" spans="1:6" ht="37.5" x14ac:dyDescent="0.25">
      <c r="A140" s="293" t="s">
        <v>1096</v>
      </c>
      <c r="B140" s="343" t="s">
        <v>1097</v>
      </c>
      <c r="C140" s="295">
        <f>280562.7+6225.6</f>
        <v>286788.3</v>
      </c>
      <c r="D140" s="295">
        <f>280562.7+6225.6</f>
        <v>286788.3</v>
      </c>
      <c r="E140" s="306">
        <f t="shared" si="15"/>
        <v>100</v>
      </c>
      <c r="F140" s="323"/>
    </row>
    <row r="141" spans="1:6" ht="54" hidden="1" x14ac:dyDescent="0.3">
      <c r="A141" s="298" t="s">
        <v>1098</v>
      </c>
      <c r="B141" s="344" t="s">
        <v>1099</v>
      </c>
      <c r="C141" s="300">
        <v>261215.2</v>
      </c>
      <c r="D141" s="300">
        <v>261215.2</v>
      </c>
      <c r="E141" s="306">
        <f t="shared" si="15"/>
        <v>100</v>
      </c>
      <c r="F141" s="323"/>
    </row>
    <row r="142" spans="1:6" ht="18" hidden="1" x14ac:dyDescent="0.3">
      <c r="A142" s="303"/>
      <c r="B142" s="304" t="s">
        <v>291</v>
      </c>
      <c r="C142" s="305"/>
      <c r="D142" s="305"/>
      <c r="E142" s="306" t="e">
        <f t="shared" si="15"/>
        <v>#DIV/0!</v>
      </c>
      <c r="F142" s="323"/>
    </row>
    <row r="143" spans="1:6" ht="36" hidden="1" x14ac:dyDescent="0.3">
      <c r="A143" s="303"/>
      <c r="B143" s="304" t="s">
        <v>1100</v>
      </c>
      <c r="C143" s="336" t="e">
        <f>SUM(#REF!)</f>
        <v>#REF!</v>
      </c>
      <c r="D143" s="336"/>
      <c r="E143" s="306" t="e">
        <f t="shared" si="15"/>
        <v>#REF!</v>
      </c>
      <c r="F143" s="323"/>
    </row>
    <row r="144" spans="1:6" ht="36" hidden="1" x14ac:dyDescent="0.3">
      <c r="A144" s="303"/>
      <c r="B144" s="304" t="s">
        <v>1101</v>
      </c>
      <c r="C144" s="336">
        <v>783.8</v>
      </c>
      <c r="D144" s="336"/>
      <c r="E144" s="306">
        <f t="shared" si="15"/>
        <v>0</v>
      </c>
      <c r="F144" s="323"/>
    </row>
    <row r="145" spans="1:6" ht="72" hidden="1" x14ac:dyDescent="0.3">
      <c r="A145" s="303"/>
      <c r="B145" s="304" t="s">
        <v>1102</v>
      </c>
      <c r="C145" s="336">
        <v>56.9</v>
      </c>
      <c r="D145" s="336"/>
      <c r="E145" s="306">
        <f t="shared" si="15"/>
        <v>0</v>
      </c>
      <c r="F145" s="323"/>
    </row>
    <row r="146" spans="1:6" ht="36" hidden="1" x14ac:dyDescent="0.3">
      <c r="A146" s="303"/>
      <c r="B146" s="304" t="s">
        <v>1103</v>
      </c>
      <c r="C146" s="336">
        <v>3868.5</v>
      </c>
      <c r="D146" s="336"/>
      <c r="E146" s="306">
        <f t="shared" si="15"/>
        <v>0</v>
      </c>
      <c r="F146" s="323"/>
    </row>
    <row r="147" spans="1:6" ht="90" hidden="1" x14ac:dyDescent="0.3">
      <c r="A147" s="303"/>
      <c r="B147" s="304" t="s">
        <v>1104</v>
      </c>
      <c r="C147" s="336">
        <v>9282.4</v>
      </c>
      <c r="D147" s="336"/>
      <c r="E147" s="306">
        <f t="shared" si="15"/>
        <v>0</v>
      </c>
      <c r="F147" s="323"/>
    </row>
    <row r="148" spans="1:6" ht="72" hidden="1" x14ac:dyDescent="0.35">
      <c r="A148" s="303"/>
      <c r="B148" s="330" t="s">
        <v>1105</v>
      </c>
      <c r="C148" s="336">
        <v>0.3</v>
      </c>
      <c r="D148" s="336"/>
      <c r="E148" s="306">
        <f t="shared" si="15"/>
        <v>0</v>
      </c>
      <c r="F148" s="323"/>
    </row>
    <row r="149" spans="1:6" ht="54" hidden="1" x14ac:dyDescent="0.35">
      <c r="A149" s="303"/>
      <c r="B149" s="330" t="s">
        <v>1106</v>
      </c>
      <c r="C149" s="336">
        <v>448.2</v>
      </c>
      <c r="D149" s="336"/>
      <c r="E149" s="306">
        <f t="shared" si="15"/>
        <v>0</v>
      </c>
      <c r="F149" s="323"/>
    </row>
    <row r="150" spans="1:6" ht="36" hidden="1" x14ac:dyDescent="0.35">
      <c r="A150" s="303"/>
      <c r="B150" s="330" t="s">
        <v>1107</v>
      </c>
      <c r="C150" s="336" t="e">
        <f>SUM(#REF!)</f>
        <v>#REF!</v>
      </c>
      <c r="D150" s="336"/>
      <c r="E150" s="306" t="e">
        <f t="shared" si="15"/>
        <v>#REF!</v>
      </c>
      <c r="F150" s="323"/>
    </row>
    <row r="151" spans="1:6" ht="36" hidden="1" x14ac:dyDescent="0.35">
      <c r="A151" s="303"/>
      <c r="B151" s="330" t="s">
        <v>1108</v>
      </c>
      <c r="C151" s="336">
        <v>45.4</v>
      </c>
      <c r="D151" s="336"/>
      <c r="E151" s="306">
        <f t="shared" si="15"/>
        <v>0</v>
      </c>
      <c r="F151" s="323"/>
    </row>
    <row r="152" spans="1:6" ht="36" hidden="1" x14ac:dyDescent="0.35">
      <c r="A152" s="303"/>
      <c r="B152" s="330" t="s">
        <v>1109</v>
      </c>
      <c r="C152" s="336">
        <v>231.6</v>
      </c>
      <c r="D152" s="336"/>
      <c r="E152" s="306">
        <f t="shared" si="15"/>
        <v>0</v>
      </c>
      <c r="F152" s="323"/>
    </row>
    <row r="153" spans="1:6" ht="54" hidden="1" x14ac:dyDescent="0.35">
      <c r="A153" s="303"/>
      <c r="B153" s="330" t="s">
        <v>1110</v>
      </c>
      <c r="C153" s="336">
        <v>7.3</v>
      </c>
      <c r="D153" s="336"/>
      <c r="E153" s="306">
        <f t="shared" si="15"/>
        <v>0</v>
      </c>
      <c r="F153" s="323"/>
    </row>
    <row r="154" spans="1:6" ht="36" hidden="1" x14ac:dyDescent="0.35">
      <c r="A154" s="303"/>
      <c r="B154" s="330" t="s">
        <v>1111</v>
      </c>
      <c r="C154" s="336">
        <v>299.39999999999998</v>
      </c>
      <c r="D154" s="336"/>
      <c r="E154" s="306">
        <f t="shared" si="15"/>
        <v>0</v>
      </c>
      <c r="F154" s="323"/>
    </row>
    <row r="155" spans="1:6" ht="54" hidden="1" x14ac:dyDescent="0.35">
      <c r="A155" s="303"/>
      <c r="B155" s="330" t="s">
        <v>1112</v>
      </c>
      <c r="C155" s="336">
        <v>9.8000000000000007</v>
      </c>
      <c r="D155" s="336"/>
      <c r="E155" s="306">
        <f t="shared" si="15"/>
        <v>0</v>
      </c>
      <c r="F155" s="323"/>
    </row>
    <row r="156" spans="1:6" ht="54" hidden="1" x14ac:dyDescent="0.3">
      <c r="A156" s="303"/>
      <c r="B156" s="304" t="s">
        <v>1113</v>
      </c>
      <c r="C156" s="305">
        <v>34.799999999999997</v>
      </c>
      <c r="D156" s="305"/>
      <c r="E156" s="306">
        <f t="shared" si="15"/>
        <v>0</v>
      </c>
      <c r="F156" s="323"/>
    </row>
    <row r="157" spans="1:6" ht="54" hidden="1" x14ac:dyDescent="0.3">
      <c r="A157" s="345" t="s">
        <v>1114</v>
      </c>
      <c r="B157" s="341" t="s">
        <v>1115</v>
      </c>
      <c r="C157" s="300">
        <f>C159</f>
        <v>7091.9</v>
      </c>
      <c r="D157" s="300">
        <v>7091.9</v>
      </c>
      <c r="E157" s="306">
        <f t="shared" si="15"/>
        <v>100</v>
      </c>
      <c r="F157" s="323"/>
    </row>
    <row r="158" spans="1:6" ht="18" hidden="1" x14ac:dyDescent="0.3">
      <c r="A158" s="339"/>
      <c r="B158" s="340" t="s">
        <v>291</v>
      </c>
      <c r="C158" s="305"/>
      <c r="D158" s="305"/>
      <c r="E158" s="306" t="e">
        <f t="shared" si="15"/>
        <v>#DIV/0!</v>
      </c>
      <c r="F158" s="323"/>
    </row>
    <row r="159" spans="1:6" ht="90" hidden="1" x14ac:dyDescent="0.3">
      <c r="A159" s="339"/>
      <c r="B159" s="304" t="s">
        <v>1116</v>
      </c>
      <c r="C159" s="336">
        <v>7091.9</v>
      </c>
      <c r="D159" s="336"/>
      <c r="E159" s="306">
        <f t="shared" si="15"/>
        <v>0</v>
      </c>
      <c r="F159" s="323"/>
    </row>
    <row r="160" spans="1:6" ht="36" hidden="1" x14ac:dyDescent="0.35">
      <c r="A160" s="303" t="s">
        <v>1117</v>
      </c>
      <c r="B160" s="330" t="s">
        <v>1118</v>
      </c>
      <c r="C160" s="300">
        <f>1033.9-27.5</f>
        <v>1006.4000000000001</v>
      </c>
      <c r="D160" s="300">
        <v>1006.4</v>
      </c>
      <c r="E160" s="306">
        <f t="shared" si="15"/>
        <v>99.999999999999986</v>
      </c>
      <c r="F160" s="323"/>
    </row>
    <row r="161" spans="1:6" ht="54" hidden="1" x14ac:dyDescent="0.3">
      <c r="A161" s="339" t="s">
        <v>1119</v>
      </c>
      <c r="B161" s="340" t="s">
        <v>1120</v>
      </c>
      <c r="C161" s="300">
        <f>1.6+3.3</f>
        <v>4.9000000000000004</v>
      </c>
      <c r="D161" s="300">
        <v>4.9000000000000004</v>
      </c>
      <c r="E161" s="306">
        <f t="shared" si="15"/>
        <v>100</v>
      </c>
      <c r="F161" s="323"/>
    </row>
    <row r="162" spans="1:6" ht="36" hidden="1" x14ac:dyDescent="0.3">
      <c r="A162" s="339" t="s">
        <v>1121</v>
      </c>
      <c r="B162" s="340" t="s">
        <v>1122</v>
      </c>
      <c r="C162" s="305">
        <v>244.3</v>
      </c>
      <c r="D162" s="305">
        <v>244.3</v>
      </c>
      <c r="E162" s="306">
        <f t="shared" ref="E162:E181" si="20">D162/C162*100</f>
        <v>100</v>
      </c>
      <c r="F162" s="323"/>
    </row>
    <row r="163" spans="1:6" ht="36" hidden="1" x14ac:dyDescent="0.3">
      <c r="A163" s="345" t="s">
        <v>1123</v>
      </c>
      <c r="B163" s="341" t="s">
        <v>1124</v>
      </c>
      <c r="C163" s="300">
        <f>1425.5-129.6</f>
        <v>1295.9000000000001</v>
      </c>
      <c r="D163" s="300">
        <v>1295.9000000000001</v>
      </c>
      <c r="E163" s="306">
        <f t="shared" si="20"/>
        <v>100</v>
      </c>
      <c r="F163" s="323"/>
    </row>
    <row r="164" spans="1:6" ht="18" hidden="1" x14ac:dyDescent="0.3">
      <c r="A164" s="345" t="s">
        <v>1125</v>
      </c>
      <c r="B164" s="341" t="s">
        <v>1126</v>
      </c>
      <c r="C164" s="300">
        <v>3614.5</v>
      </c>
      <c r="D164" s="300">
        <v>3614.5</v>
      </c>
      <c r="E164" s="306">
        <f t="shared" si="20"/>
        <v>100</v>
      </c>
      <c r="F164" s="323"/>
    </row>
    <row r="165" spans="1:6" ht="18" hidden="1" x14ac:dyDescent="0.3">
      <c r="A165" s="339"/>
      <c r="B165" s="340" t="s">
        <v>291</v>
      </c>
      <c r="C165" s="305"/>
      <c r="D165" s="305"/>
      <c r="E165" s="306" t="e">
        <f t="shared" si="20"/>
        <v>#DIV/0!</v>
      </c>
      <c r="F165" s="323"/>
    </row>
    <row r="166" spans="1:6" ht="54" hidden="1" x14ac:dyDescent="0.3">
      <c r="A166" s="339"/>
      <c r="B166" s="304" t="s">
        <v>1127</v>
      </c>
      <c r="C166" s="336" t="e">
        <f>SUM(#REF!)</f>
        <v>#REF!</v>
      </c>
      <c r="D166" s="336"/>
      <c r="E166" s="306" t="e">
        <f t="shared" si="20"/>
        <v>#REF!</v>
      </c>
      <c r="F166" s="323"/>
    </row>
    <row r="167" spans="1:6" ht="54" hidden="1" x14ac:dyDescent="0.3">
      <c r="A167" s="339"/>
      <c r="B167" s="304" t="s">
        <v>1128</v>
      </c>
      <c r="C167" s="336">
        <v>138.9</v>
      </c>
      <c r="D167" s="336"/>
      <c r="E167" s="306">
        <f t="shared" si="20"/>
        <v>0</v>
      </c>
      <c r="F167" s="323"/>
    </row>
    <row r="168" spans="1:6" ht="18.75" x14ac:dyDescent="0.25">
      <c r="A168" s="293" t="s">
        <v>1129</v>
      </c>
      <c r="B168" s="346" t="s">
        <v>1130</v>
      </c>
      <c r="C168" s="295">
        <v>41513.199999999997</v>
      </c>
      <c r="D168" s="295">
        <v>41513.199999999997</v>
      </c>
      <c r="E168" s="306">
        <f t="shared" si="20"/>
        <v>100</v>
      </c>
      <c r="F168" s="323"/>
    </row>
    <row r="169" spans="1:6" ht="69.599999999999994" hidden="1" x14ac:dyDescent="0.3">
      <c r="A169" s="337" t="s">
        <v>1131</v>
      </c>
      <c r="B169" s="338" t="s">
        <v>1132</v>
      </c>
      <c r="C169" s="306">
        <v>12128.1</v>
      </c>
      <c r="D169" s="306"/>
      <c r="E169" s="306">
        <f t="shared" si="20"/>
        <v>0</v>
      </c>
      <c r="F169" s="323"/>
    </row>
    <row r="170" spans="1:6" ht="34.9" hidden="1" x14ac:dyDescent="0.3">
      <c r="A170" s="337" t="s">
        <v>1133</v>
      </c>
      <c r="B170" s="338" t="s">
        <v>1134</v>
      </c>
      <c r="C170" s="306" t="e">
        <f t="shared" ref="C170" si="21">SUM(C172:C176)</f>
        <v>#REF!</v>
      </c>
      <c r="D170" s="306"/>
      <c r="E170" s="306" t="e">
        <f t="shared" si="20"/>
        <v>#REF!</v>
      </c>
      <c r="F170" s="323"/>
    </row>
    <row r="171" spans="1:6" ht="18" hidden="1" x14ac:dyDescent="0.3">
      <c r="A171" s="337"/>
      <c r="B171" s="340" t="s">
        <v>291</v>
      </c>
      <c r="C171" s="306"/>
      <c r="D171" s="306"/>
      <c r="E171" s="306" t="e">
        <f t="shared" si="20"/>
        <v>#DIV/0!</v>
      </c>
      <c r="F171" s="323"/>
    </row>
    <row r="172" spans="1:6" ht="31.15" hidden="1" x14ac:dyDescent="0.3">
      <c r="A172" s="303"/>
      <c r="B172" s="335" t="s">
        <v>1135</v>
      </c>
      <c r="C172" s="336">
        <v>360.6</v>
      </c>
      <c r="D172" s="336"/>
      <c r="E172" s="306">
        <f t="shared" si="20"/>
        <v>0</v>
      </c>
      <c r="F172" s="323"/>
    </row>
    <row r="173" spans="1:6" ht="54" hidden="1" x14ac:dyDescent="0.3">
      <c r="A173" s="303"/>
      <c r="B173" s="304" t="s">
        <v>1136</v>
      </c>
      <c r="C173" s="336">
        <v>0</v>
      </c>
      <c r="D173" s="336"/>
      <c r="E173" s="306" t="e">
        <f t="shared" si="20"/>
        <v>#DIV/0!</v>
      </c>
      <c r="F173" s="323"/>
    </row>
    <row r="174" spans="1:6" ht="54" hidden="1" x14ac:dyDescent="0.3">
      <c r="A174" s="303"/>
      <c r="B174" s="304" t="s">
        <v>1137</v>
      </c>
      <c r="C174" s="336" t="e">
        <f>SUM(#REF!)</f>
        <v>#REF!</v>
      </c>
      <c r="D174" s="336"/>
      <c r="E174" s="306" t="e">
        <f t="shared" si="20"/>
        <v>#REF!</v>
      </c>
      <c r="F174" s="323"/>
    </row>
    <row r="175" spans="1:6" ht="18" hidden="1" x14ac:dyDescent="0.3">
      <c r="A175" s="303"/>
      <c r="B175" s="304" t="s">
        <v>1138</v>
      </c>
      <c r="C175" s="336" t="e">
        <f>SUM(#REF!)</f>
        <v>#REF!</v>
      </c>
      <c r="D175" s="336"/>
      <c r="E175" s="306" t="e">
        <f t="shared" si="20"/>
        <v>#REF!</v>
      </c>
      <c r="F175" s="323"/>
    </row>
    <row r="176" spans="1:6" ht="54" hidden="1" x14ac:dyDescent="0.3">
      <c r="A176" s="303"/>
      <c r="B176" s="304" t="s">
        <v>1139</v>
      </c>
      <c r="C176" s="336" t="e">
        <f>A176+B176</f>
        <v>#VALUE!</v>
      </c>
      <c r="D176" s="336"/>
      <c r="E176" s="306" t="e">
        <f t="shared" si="20"/>
        <v>#VALUE!</v>
      </c>
      <c r="F176" s="323"/>
    </row>
    <row r="177" spans="1:6" ht="37.5" x14ac:dyDescent="0.25">
      <c r="A177" s="293" t="s">
        <v>1140</v>
      </c>
      <c r="B177" s="294" t="s">
        <v>1141</v>
      </c>
      <c r="C177" s="347">
        <v>51</v>
      </c>
      <c r="D177" s="347">
        <v>51</v>
      </c>
      <c r="E177" s="306">
        <f t="shared" si="20"/>
        <v>100</v>
      </c>
      <c r="F177" s="323"/>
    </row>
    <row r="178" spans="1:6" ht="18.75" x14ac:dyDescent="0.25">
      <c r="A178" s="293" t="s">
        <v>1142</v>
      </c>
      <c r="B178" s="294" t="s">
        <v>1143</v>
      </c>
      <c r="C178" s="347">
        <v>1220.5</v>
      </c>
      <c r="D178" s="347">
        <v>1220.5</v>
      </c>
      <c r="E178" s="306">
        <f t="shared" si="20"/>
        <v>100</v>
      </c>
      <c r="F178" s="323"/>
    </row>
    <row r="179" spans="1:6" ht="18.75" x14ac:dyDescent="0.25">
      <c r="A179" s="303" t="s">
        <v>1144</v>
      </c>
      <c r="B179" s="304" t="s">
        <v>1145</v>
      </c>
      <c r="C179" s="336">
        <v>107.6</v>
      </c>
      <c r="D179" s="336"/>
      <c r="E179" s="306">
        <f t="shared" si="20"/>
        <v>0</v>
      </c>
      <c r="F179" s="323"/>
    </row>
    <row r="180" spans="1:6" ht="37.5" x14ac:dyDescent="0.25">
      <c r="A180" s="293" t="s">
        <v>1146</v>
      </c>
      <c r="B180" s="294" t="s">
        <v>1147</v>
      </c>
      <c r="C180" s="324">
        <v>-11809.4</v>
      </c>
      <c r="D180" s="324">
        <v>-11809.4</v>
      </c>
      <c r="E180" s="306">
        <f t="shared" si="20"/>
        <v>100</v>
      </c>
      <c r="F180" s="323"/>
    </row>
    <row r="181" spans="1:6" ht="37.5" x14ac:dyDescent="0.3">
      <c r="A181" s="348" t="s">
        <v>1148</v>
      </c>
      <c r="B181" s="349" t="s">
        <v>1149</v>
      </c>
      <c r="C181" s="350">
        <v>-8233.9</v>
      </c>
      <c r="D181" s="350"/>
      <c r="E181" s="306">
        <f t="shared" si="20"/>
        <v>0</v>
      </c>
      <c r="F181" s="323"/>
    </row>
    <row r="182" spans="1:6" ht="18.75" x14ac:dyDescent="0.25">
      <c r="A182" s="351"/>
      <c r="B182" s="352" t="s">
        <v>1150</v>
      </c>
      <c r="C182" s="353">
        <f>C12+C95</f>
        <v>877564.2</v>
      </c>
      <c r="D182" s="353">
        <f t="shared" ref="D182" si="22">D12+D95</f>
        <v>884651.39999999991</v>
      </c>
      <c r="E182" s="306">
        <f>D182/C182*100</f>
        <v>100.80759903378009</v>
      </c>
      <c r="F182" s="323"/>
    </row>
    <row r="184" spans="1:6" ht="15.75" x14ac:dyDescent="0.25">
      <c r="A184" s="494" t="s">
        <v>1151</v>
      </c>
      <c r="B184" s="494"/>
      <c r="C184" s="494"/>
      <c r="D184" s="494"/>
      <c r="E184" s="494"/>
    </row>
    <row r="185" spans="1:6" ht="15.75" x14ac:dyDescent="0.25">
      <c r="A185" s="354"/>
      <c r="B185" s="355"/>
      <c r="C185" s="355"/>
      <c r="D185" s="355"/>
      <c r="E185" s="354"/>
    </row>
    <row r="186" spans="1:6" ht="15.75" x14ac:dyDescent="0.25">
      <c r="A186" s="354"/>
      <c r="B186" s="355"/>
      <c r="C186" s="355"/>
      <c r="D186" s="355"/>
      <c r="E186" s="356" t="s">
        <v>817</v>
      </c>
    </row>
    <row r="187" spans="1:6" x14ac:dyDescent="0.25">
      <c r="A187" s="500" t="s">
        <v>664</v>
      </c>
      <c r="B187" s="502" t="s">
        <v>1152</v>
      </c>
      <c r="C187" s="500" t="s">
        <v>1153</v>
      </c>
      <c r="D187" s="500" t="s">
        <v>1154</v>
      </c>
      <c r="E187" s="500" t="s">
        <v>1155</v>
      </c>
    </row>
    <row r="188" spans="1:6" x14ac:dyDescent="0.25">
      <c r="A188" s="501"/>
      <c r="B188" s="502"/>
      <c r="C188" s="501"/>
      <c r="D188" s="501"/>
      <c r="E188" s="501"/>
    </row>
    <row r="189" spans="1:6" ht="15.75" x14ac:dyDescent="0.25">
      <c r="A189" s="357" t="s">
        <v>666</v>
      </c>
      <c r="B189" s="358" t="s">
        <v>1156</v>
      </c>
      <c r="C189" s="359">
        <v>108733.9</v>
      </c>
      <c r="D189" s="359">
        <f>C189-425.6</f>
        <v>108308.29999999999</v>
      </c>
      <c r="E189" s="360">
        <f>ROUND(D189/C189*100,1)</f>
        <v>99.6</v>
      </c>
    </row>
    <row r="190" spans="1:6" ht="15.75" x14ac:dyDescent="0.25">
      <c r="A190" s="357" t="s">
        <v>680</v>
      </c>
      <c r="B190" s="358" t="s">
        <v>681</v>
      </c>
      <c r="C190" s="361">
        <v>952</v>
      </c>
      <c r="D190" s="359">
        <f>C190</f>
        <v>952</v>
      </c>
      <c r="E190" s="360">
        <f t="shared" ref="E190:E202" si="23">ROUND(D190/C190*100,1)</f>
        <v>100</v>
      </c>
    </row>
    <row r="191" spans="1:6" ht="15.75" x14ac:dyDescent="0.25">
      <c r="A191" s="357" t="s">
        <v>686</v>
      </c>
      <c r="B191" s="358" t="s">
        <v>687</v>
      </c>
      <c r="C191" s="361">
        <v>19835.2</v>
      </c>
      <c r="D191" s="359">
        <f>C191-111.5</f>
        <v>19723.7</v>
      </c>
      <c r="E191" s="360">
        <f t="shared" si="23"/>
        <v>99.4</v>
      </c>
    </row>
    <row r="192" spans="1:6" ht="15.75" x14ac:dyDescent="0.25">
      <c r="A192" s="357" t="s">
        <v>696</v>
      </c>
      <c r="B192" s="358" t="s">
        <v>697</v>
      </c>
      <c r="C192" s="361">
        <v>108897.7</v>
      </c>
      <c r="D192" s="359">
        <f>C192-2016.1</f>
        <v>106881.59999999999</v>
      </c>
      <c r="E192" s="360">
        <f t="shared" si="23"/>
        <v>98.1</v>
      </c>
    </row>
    <row r="193" spans="1:7" ht="15.75" x14ac:dyDescent="0.25">
      <c r="A193" s="362" t="s">
        <v>706</v>
      </c>
      <c r="B193" s="363" t="s">
        <v>707</v>
      </c>
      <c r="C193" s="361">
        <v>53503.6</v>
      </c>
      <c r="D193" s="359">
        <f>C193-118.9</f>
        <v>53384.7</v>
      </c>
      <c r="E193" s="360">
        <f t="shared" si="23"/>
        <v>99.8</v>
      </c>
    </row>
    <row r="194" spans="1:7" ht="15.75" x14ac:dyDescent="0.25">
      <c r="A194" s="357" t="s">
        <v>1157</v>
      </c>
      <c r="B194" s="358" t="s">
        <v>1158</v>
      </c>
      <c r="C194" s="361">
        <v>15.2</v>
      </c>
      <c r="D194" s="359">
        <v>15.2</v>
      </c>
      <c r="E194" s="360">
        <f t="shared" si="23"/>
        <v>100</v>
      </c>
    </row>
    <row r="195" spans="1:7" ht="15.75" x14ac:dyDescent="0.25">
      <c r="A195" s="357" t="s">
        <v>718</v>
      </c>
      <c r="B195" s="358" t="s">
        <v>719</v>
      </c>
      <c r="C195" s="361">
        <f>460497.9+6225.6+210.8</f>
        <v>466934.3</v>
      </c>
      <c r="D195" s="359">
        <f>C195-83.2</f>
        <v>466851.1</v>
      </c>
      <c r="E195" s="360">
        <f t="shared" si="23"/>
        <v>100</v>
      </c>
    </row>
    <row r="196" spans="1:7" ht="15.75" x14ac:dyDescent="0.25">
      <c r="A196" s="362" t="s">
        <v>746</v>
      </c>
      <c r="B196" s="364" t="s">
        <v>1159</v>
      </c>
      <c r="C196" s="359">
        <v>73294.899999999994</v>
      </c>
      <c r="D196" s="359">
        <f>C196-43.8</f>
        <v>73251.099999999991</v>
      </c>
      <c r="E196" s="360">
        <f t="shared" si="23"/>
        <v>99.9</v>
      </c>
    </row>
    <row r="197" spans="1:7" ht="15.75" x14ac:dyDescent="0.25">
      <c r="A197" s="362" t="s">
        <v>1160</v>
      </c>
      <c r="B197" s="364" t="s">
        <v>1161</v>
      </c>
      <c r="C197" s="359">
        <v>2055.1</v>
      </c>
      <c r="D197" s="359">
        <v>2055.1</v>
      </c>
      <c r="E197" s="360">
        <f t="shared" si="23"/>
        <v>100</v>
      </c>
    </row>
    <row r="198" spans="1:7" ht="15.75" x14ac:dyDescent="0.25">
      <c r="A198" s="357" t="s">
        <v>1162</v>
      </c>
      <c r="B198" s="358" t="s">
        <v>722</v>
      </c>
      <c r="C198" s="359">
        <v>69157.5</v>
      </c>
      <c r="D198" s="359">
        <f>C198-111.7</f>
        <v>69045.8</v>
      </c>
      <c r="E198" s="360">
        <f t="shared" si="23"/>
        <v>99.8</v>
      </c>
    </row>
    <row r="199" spans="1:7" ht="15.75" x14ac:dyDescent="0.25">
      <c r="A199" s="357" t="s">
        <v>1163</v>
      </c>
      <c r="B199" s="358" t="s">
        <v>741</v>
      </c>
      <c r="C199" s="359">
        <v>9181</v>
      </c>
      <c r="D199" s="359">
        <f>C199</f>
        <v>9181</v>
      </c>
      <c r="E199" s="360">
        <f t="shared" si="23"/>
        <v>100</v>
      </c>
    </row>
    <row r="200" spans="1:7" ht="15.75" x14ac:dyDescent="0.25">
      <c r="A200" s="357" t="s">
        <v>1164</v>
      </c>
      <c r="B200" s="358" t="s">
        <v>754</v>
      </c>
      <c r="C200" s="359">
        <v>1288.8</v>
      </c>
      <c r="D200" s="359">
        <f>C200</f>
        <v>1288.8</v>
      </c>
      <c r="E200" s="360">
        <f t="shared" si="23"/>
        <v>100</v>
      </c>
    </row>
    <row r="201" spans="1:7" ht="15.75" x14ac:dyDescent="0.25">
      <c r="A201" s="365"/>
      <c r="B201" s="366" t="s">
        <v>1165</v>
      </c>
      <c r="C201" s="367">
        <f>SUM(C189:C200)</f>
        <v>913849.2</v>
      </c>
      <c r="D201" s="367">
        <f>SUM(D189:D200)</f>
        <v>910938.4</v>
      </c>
      <c r="E201" s="368">
        <f t="shared" si="23"/>
        <v>99.7</v>
      </c>
      <c r="G201" s="369"/>
    </row>
    <row r="202" spans="1:7" ht="15.75" x14ac:dyDescent="0.25">
      <c r="A202" s="370"/>
      <c r="B202" s="371" t="s">
        <v>1166</v>
      </c>
      <c r="C202" s="372">
        <f>SUM(C182-C201)</f>
        <v>-36285</v>
      </c>
      <c r="D202" s="372">
        <f>SUM(D182-D201)</f>
        <v>-26287.000000000116</v>
      </c>
      <c r="E202" s="360">
        <f t="shared" si="23"/>
        <v>72.400000000000006</v>
      </c>
    </row>
    <row r="203" spans="1:7" ht="15.75" x14ac:dyDescent="0.25">
      <c r="A203" s="373"/>
      <c r="B203" s="373"/>
      <c r="C203" s="373"/>
      <c r="D203" s="373"/>
      <c r="E203" s="373"/>
    </row>
    <row r="204" spans="1:7" ht="15.75" x14ac:dyDescent="0.25">
      <c r="A204" s="494" t="s">
        <v>1167</v>
      </c>
      <c r="B204" s="494"/>
      <c r="C204" s="494"/>
      <c r="D204" s="494"/>
      <c r="E204" s="494"/>
    </row>
    <row r="205" spans="1:7" ht="15.75" x14ac:dyDescent="0.25">
      <c r="A205" s="373"/>
      <c r="B205" s="373"/>
      <c r="C205" s="373"/>
      <c r="D205" s="373"/>
      <c r="E205" s="356" t="s">
        <v>817</v>
      </c>
    </row>
    <row r="206" spans="1:7" ht="31.5" x14ac:dyDescent="0.25">
      <c r="A206" s="374" t="s">
        <v>1168</v>
      </c>
      <c r="B206" s="375" t="s">
        <v>1169</v>
      </c>
      <c r="C206" s="357" t="s">
        <v>1153</v>
      </c>
      <c r="D206" s="357" t="s">
        <v>1154</v>
      </c>
      <c r="E206" s="357" t="s">
        <v>1155</v>
      </c>
    </row>
    <row r="207" spans="1:7" ht="15.75" x14ac:dyDescent="0.25">
      <c r="A207" s="495" t="s">
        <v>1170</v>
      </c>
      <c r="B207" s="496"/>
      <c r="C207" s="376">
        <f>SUM(C208)</f>
        <v>36285</v>
      </c>
      <c r="D207" s="376">
        <f>SUM(D208)</f>
        <v>27288.7</v>
      </c>
      <c r="E207" s="360">
        <f>ROUND(D207/C207*100,1)</f>
        <v>75.2</v>
      </c>
    </row>
    <row r="208" spans="1:7" ht="15.75" x14ac:dyDescent="0.25">
      <c r="A208" s="497" t="s">
        <v>1171</v>
      </c>
      <c r="B208" s="498"/>
      <c r="C208" s="377">
        <f>C209</f>
        <v>36285</v>
      </c>
      <c r="D208" s="377">
        <f>D209</f>
        <v>27288.7</v>
      </c>
      <c r="E208" s="378">
        <f t="shared" ref="E208" si="24">E209</f>
        <v>114.3</v>
      </c>
    </row>
    <row r="209" spans="1:5" ht="15.75" x14ac:dyDescent="0.25">
      <c r="A209" s="379" t="s">
        <v>822</v>
      </c>
      <c r="B209" s="380" t="s">
        <v>1172</v>
      </c>
      <c r="C209" s="381">
        <v>36285</v>
      </c>
      <c r="D209" s="381">
        <v>27288.7</v>
      </c>
      <c r="E209" s="382">
        <v>114.3</v>
      </c>
    </row>
    <row r="210" spans="1:5" x14ac:dyDescent="0.25">
      <c r="A210"/>
      <c r="B210" s="275" t="s">
        <v>1173</v>
      </c>
      <c r="D210" s="275">
        <v>38080.9</v>
      </c>
    </row>
    <row r="211" spans="1:5" x14ac:dyDescent="0.25">
      <c r="A211"/>
      <c r="B211" s="275" t="s">
        <v>1174</v>
      </c>
      <c r="D211" s="383">
        <f>D210+D182-D201-1500-450-2100</f>
        <v>7743.8999999999069</v>
      </c>
    </row>
  </sheetData>
  <mergeCells count="19">
    <mergeCell ref="C1:F1"/>
    <mergeCell ref="C2:F2"/>
    <mergeCell ref="C5:F5"/>
    <mergeCell ref="A6:F6"/>
    <mergeCell ref="A8:A10"/>
    <mergeCell ref="B8:B10"/>
    <mergeCell ref="C8:C10"/>
    <mergeCell ref="D8:D10"/>
    <mergeCell ref="E8:E10"/>
    <mergeCell ref="A204:E204"/>
    <mergeCell ref="A207:B207"/>
    <mergeCell ref="A208:B208"/>
    <mergeCell ref="F8:F10"/>
    <mergeCell ref="A184:E184"/>
    <mergeCell ref="A187:A188"/>
    <mergeCell ref="B187:B188"/>
    <mergeCell ref="C187:C188"/>
    <mergeCell ref="D187:D188"/>
    <mergeCell ref="E187:E188"/>
  </mergeCells>
  <pageMargins left="0.9055118110236221" right="0.31496062992125984" top="0.74803149606299213" bottom="0.74803149606299213" header="0.31496062992125984" footer="0.31496062992125984"/>
  <pageSetup paperSize="9" scale="4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B7" sqref="B7"/>
    </sheetView>
  </sheetViews>
  <sheetFormatPr defaultRowHeight="15" x14ac:dyDescent="0.25"/>
  <cols>
    <col min="2" max="2" width="80.28515625" customWidth="1"/>
  </cols>
  <sheetData>
    <row r="1" spans="1:5" ht="15.75" x14ac:dyDescent="0.25">
      <c r="B1" s="422" t="s">
        <v>857</v>
      </c>
      <c r="C1" s="421"/>
      <c r="D1" s="421"/>
      <c r="E1" s="421"/>
    </row>
    <row r="2" spans="1:5" ht="15.75" x14ac:dyDescent="0.25">
      <c r="B2" s="422" t="s">
        <v>866</v>
      </c>
      <c r="C2" s="421"/>
      <c r="D2" s="421"/>
      <c r="E2" s="421"/>
    </row>
    <row r="3" spans="1:5" ht="15.75" x14ac:dyDescent="0.25">
      <c r="B3" s="252" t="s">
        <v>815</v>
      </c>
      <c r="C3" s="244"/>
      <c r="D3" s="244"/>
    </row>
    <row r="4" spans="1:5" ht="15.75" x14ac:dyDescent="0.25">
      <c r="B4" s="252" t="s">
        <v>1406</v>
      </c>
      <c r="C4" s="244"/>
      <c r="D4" s="244"/>
    </row>
    <row r="6" spans="1:5" ht="31.9" customHeight="1" x14ac:dyDescent="0.25">
      <c r="A6" s="507" t="s">
        <v>1343</v>
      </c>
      <c r="B6" s="507"/>
    </row>
    <row r="7" spans="1:5" ht="15.75" x14ac:dyDescent="0.25">
      <c r="A7" s="423" t="s">
        <v>770</v>
      </c>
      <c r="B7" s="423" t="s">
        <v>1344</v>
      </c>
    </row>
    <row r="8" spans="1:5" ht="37.9" customHeight="1" x14ac:dyDescent="0.25">
      <c r="A8" s="424">
        <v>1</v>
      </c>
      <c r="B8" s="425" t="s">
        <v>1345</v>
      </c>
    </row>
    <row r="9" spans="1:5" ht="40.9" customHeight="1" x14ac:dyDescent="0.25">
      <c r="A9" s="424">
        <v>2</v>
      </c>
      <c r="B9" s="425" t="s">
        <v>1346</v>
      </c>
    </row>
    <row r="10" spans="1:5" ht="40.15" customHeight="1" x14ac:dyDescent="0.25">
      <c r="A10" s="424">
        <v>3</v>
      </c>
      <c r="B10" s="425" t="s">
        <v>1347</v>
      </c>
    </row>
    <row r="11" spans="1:5" ht="39" customHeight="1" x14ac:dyDescent="0.25">
      <c r="A11" s="424">
        <v>4</v>
      </c>
      <c r="B11" s="425" t="s">
        <v>727</v>
      </c>
    </row>
    <row r="12" spans="1:5" ht="37.15" customHeight="1" x14ac:dyDescent="0.25">
      <c r="A12" s="424">
        <v>5</v>
      </c>
      <c r="B12" s="425" t="s">
        <v>1348</v>
      </c>
    </row>
    <row r="13" spans="1:5" ht="37.9" customHeight="1" x14ac:dyDescent="0.25">
      <c r="A13" s="424">
        <v>6</v>
      </c>
      <c r="B13" s="425" t="s">
        <v>1349</v>
      </c>
    </row>
    <row r="14" spans="1:5" ht="36.6" customHeight="1" x14ac:dyDescent="0.25">
      <c r="A14" s="424">
        <v>7</v>
      </c>
      <c r="B14" s="425" t="s">
        <v>1350</v>
      </c>
    </row>
    <row r="15" spans="1:5" ht="44.45" customHeight="1" x14ac:dyDescent="0.25">
      <c r="A15" s="424">
        <v>8</v>
      </c>
      <c r="B15" s="425" t="s">
        <v>1351</v>
      </c>
    </row>
    <row r="16" spans="1:5" ht="39" customHeight="1" x14ac:dyDescent="0.25">
      <c r="A16" s="424">
        <v>9</v>
      </c>
      <c r="B16" s="425" t="s">
        <v>1352</v>
      </c>
    </row>
    <row r="17" spans="1:2" ht="40.15" customHeight="1" x14ac:dyDescent="0.25">
      <c r="A17" s="424">
        <v>10</v>
      </c>
      <c r="B17" s="425" t="s">
        <v>1353</v>
      </c>
    </row>
    <row r="18" spans="1:2" ht="40.15" customHeight="1" x14ac:dyDescent="0.25">
      <c r="A18" s="424">
        <v>11</v>
      </c>
      <c r="B18" s="425" t="s">
        <v>1354</v>
      </c>
    </row>
    <row r="19" spans="1:2" ht="39" customHeight="1" x14ac:dyDescent="0.25">
      <c r="A19" s="424">
        <v>12</v>
      </c>
      <c r="B19" s="425" t="s">
        <v>1355</v>
      </c>
    </row>
    <row r="20" spans="1:2" ht="55.15" customHeight="1" x14ac:dyDescent="0.25">
      <c r="A20" s="424">
        <v>13</v>
      </c>
      <c r="B20" s="425" t="s">
        <v>1356</v>
      </c>
    </row>
    <row r="21" spans="1:2" ht="55.9" customHeight="1" x14ac:dyDescent="0.25">
      <c r="A21" s="424">
        <v>14</v>
      </c>
      <c r="B21" s="425" t="s">
        <v>1357</v>
      </c>
    </row>
    <row r="22" spans="1:2" ht="61.9" customHeight="1" x14ac:dyDescent="0.25">
      <c r="A22" s="424">
        <v>15</v>
      </c>
      <c r="B22" s="425" t="s">
        <v>1358</v>
      </c>
    </row>
  </sheetData>
  <mergeCells count="1">
    <mergeCell ref="A6:B6"/>
  </mergeCells>
  <pageMargins left="0.7" right="0.7" top="0.75" bottom="0.75" header="0.3" footer="0.3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9"/>
  <sheetViews>
    <sheetView tabSelected="1" view="pageBreakPreview" zoomScale="60" workbookViewId="0">
      <selection activeCell="C2" sqref="C2"/>
    </sheetView>
  </sheetViews>
  <sheetFormatPr defaultColWidth="9.140625" defaultRowHeight="15" x14ac:dyDescent="0.25"/>
  <cols>
    <col min="1" max="1" width="6.42578125" style="420" customWidth="1"/>
    <col min="2" max="2" width="31.85546875" style="275" customWidth="1"/>
    <col min="3" max="3" width="44.5703125" style="275" customWidth="1"/>
    <col min="4" max="7" width="19.140625" style="275" customWidth="1"/>
    <col min="8" max="16384" width="9.140625" style="275"/>
  </cols>
  <sheetData>
    <row r="1" spans="1:7" ht="15.75" x14ac:dyDescent="0.25">
      <c r="G1" s="432" t="s">
        <v>857</v>
      </c>
    </row>
    <row r="2" spans="1:7" ht="15.75" x14ac:dyDescent="0.25">
      <c r="G2" s="256" t="s">
        <v>866</v>
      </c>
    </row>
    <row r="3" spans="1:7" ht="15.75" x14ac:dyDescent="0.25">
      <c r="G3" s="431" t="s">
        <v>815</v>
      </c>
    </row>
    <row r="4" spans="1:7" ht="15.75" x14ac:dyDescent="0.25">
      <c r="G4" s="431" t="s">
        <v>1406</v>
      </c>
    </row>
    <row r="6" spans="1:7" ht="18.75" x14ac:dyDescent="0.25">
      <c r="A6" s="511" t="s">
        <v>1175</v>
      </c>
      <c r="B6" s="511"/>
      <c r="C6" s="511"/>
      <c r="D6" s="511"/>
      <c r="E6" s="511"/>
      <c r="F6" s="511"/>
      <c r="G6" s="511"/>
    </row>
    <row r="7" spans="1:7" ht="18.75" x14ac:dyDescent="0.3">
      <c r="A7" s="512" t="s">
        <v>1382</v>
      </c>
      <c r="B7" s="512"/>
      <c r="C7" s="512"/>
      <c r="D7" s="512"/>
      <c r="E7" s="512"/>
      <c r="F7" s="512"/>
      <c r="G7" s="512"/>
    </row>
    <row r="8" spans="1:7" ht="18" x14ac:dyDescent="0.35">
      <c r="A8" s="384"/>
      <c r="B8" s="385"/>
      <c r="C8" s="385"/>
      <c r="D8" s="386"/>
      <c r="E8" s="385"/>
      <c r="F8" s="385"/>
      <c r="G8" s="385"/>
    </row>
    <row r="9" spans="1:7" ht="15.75" x14ac:dyDescent="0.25">
      <c r="A9" s="513" t="s">
        <v>1176</v>
      </c>
      <c r="B9" s="514" t="s">
        <v>1177</v>
      </c>
      <c r="C9" s="514" t="s">
        <v>1178</v>
      </c>
      <c r="D9" s="514" t="s">
        <v>1179</v>
      </c>
      <c r="E9" s="514" t="s">
        <v>1180</v>
      </c>
      <c r="F9" s="514"/>
      <c r="G9" s="514"/>
    </row>
    <row r="10" spans="1:7" ht="47.25" x14ac:dyDescent="0.25">
      <c r="A10" s="513"/>
      <c r="B10" s="514"/>
      <c r="C10" s="514"/>
      <c r="D10" s="514"/>
      <c r="E10" s="435" t="s">
        <v>1181</v>
      </c>
      <c r="F10" s="435" t="s">
        <v>1182</v>
      </c>
      <c r="G10" s="435" t="s">
        <v>1183</v>
      </c>
    </row>
    <row r="11" spans="1:7" ht="31.5" x14ac:dyDescent="0.25">
      <c r="A11" s="387">
        <v>1</v>
      </c>
      <c r="B11" s="433" t="s">
        <v>1184</v>
      </c>
      <c r="C11" s="388" t="s">
        <v>877</v>
      </c>
      <c r="D11" s="433"/>
      <c r="E11" s="389">
        <f>SUM(E12+E18+E23+E31+E40+E47+E57+E62+E69+E77)</f>
        <v>97152.699999999983</v>
      </c>
      <c r="F11" s="389">
        <f>SUM(F12+F18+F23+F31+F40+F47+F57+F62+F69+F77)</f>
        <v>99080.199999999983</v>
      </c>
      <c r="G11" s="389">
        <f>SUM(G12+G18+G23+G31+G40+G47+G57+G62+G69+G77)</f>
        <v>101754.79999999999</v>
      </c>
    </row>
    <row r="12" spans="1:7" ht="15.75" x14ac:dyDescent="0.25">
      <c r="A12" s="387">
        <v>2</v>
      </c>
      <c r="B12" s="433" t="s">
        <v>1185</v>
      </c>
      <c r="C12" s="390" t="s">
        <v>880</v>
      </c>
      <c r="D12" s="433"/>
      <c r="E12" s="391">
        <f>SUM(E13)</f>
        <v>39582</v>
      </c>
      <c r="F12" s="391">
        <f t="shared" ref="F12:G12" si="0">SUM(F13)</f>
        <v>41639</v>
      </c>
      <c r="G12" s="391">
        <f t="shared" si="0"/>
        <v>43802</v>
      </c>
    </row>
    <row r="13" spans="1:7" ht="15.75" x14ac:dyDescent="0.25">
      <c r="A13" s="392">
        <v>3</v>
      </c>
      <c r="B13" s="436" t="s">
        <v>1186</v>
      </c>
      <c r="C13" s="393" t="s">
        <v>882</v>
      </c>
      <c r="D13" s="509" t="s">
        <v>1187</v>
      </c>
      <c r="E13" s="394">
        <f>SUM(E14:E17)</f>
        <v>39582</v>
      </c>
      <c r="F13" s="394">
        <f t="shared" ref="F13:G13" si="1">SUM(F14:F17)</f>
        <v>41639</v>
      </c>
      <c r="G13" s="394">
        <f t="shared" si="1"/>
        <v>43802</v>
      </c>
    </row>
    <row r="14" spans="1:7" ht="110.25" x14ac:dyDescent="0.25">
      <c r="A14" s="392">
        <v>4</v>
      </c>
      <c r="B14" s="436" t="s">
        <v>1188</v>
      </c>
      <c r="C14" s="393" t="s">
        <v>884</v>
      </c>
      <c r="D14" s="509"/>
      <c r="E14" s="395">
        <v>39173</v>
      </c>
      <c r="F14" s="395">
        <v>41210</v>
      </c>
      <c r="G14" s="395">
        <v>43352</v>
      </c>
    </row>
    <row r="15" spans="1:7" ht="173.25" x14ac:dyDescent="0.25">
      <c r="A15" s="392">
        <v>5</v>
      </c>
      <c r="B15" s="436" t="s">
        <v>1189</v>
      </c>
      <c r="C15" s="393" t="s">
        <v>1190</v>
      </c>
      <c r="D15" s="509"/>
      <c r="E15" s="395">
        <v>34</v>
      </c>
      <c r="F15" s="395">
        <v>36</v>
      </c>
      <c r="G15" s="395">
        <v>37</v>
      </c>
    </row>
    <row r="16" spans="1:7" ht="63" x14ac:dyDescent="0.25">
      <c r="A16" s="392">
        <v>6</v>
      </c>
      <c r="B16" s="436" t="s">
        <v>1191</v>
      </c>
      <c r="C16" s="393" t="s">
        <v>888</v>
      </c>
      <c r="D16" s="509"/>
      <c r="E16" s="395">
        <v>352</v>
      </c>
      <c r="F16" s="395">
        <v>370</v>
      </c>
      <c r="G16" s="395">
        <v>390</v>
      </c>
    </row>
    <row r="17" spans="1:7" ht="141.75" x14ac:dyDescent="0.25">
      <c r="A17" s="392">
        <v>7</v>
      </c>
      <c r="B17" s="436" t="s">
        <v>1192</v>
      </c>
      <c r="C17" s="393" t="s">
        <v>890</v>
      </c>
      <c r="D17" s="510"/>
      <c r="E17" s="395">
        <v>23</v>
      </c>
      <c r="F17" s="395">
        <v>23</v>
      </c>
      <c r="G17" s="395">
        <v>23</v>
      </c>
    </row>
    <row r="18" spans="1:7" ht="63" x14ac:dyDescent="0.25">
      <c r="A18" s="387">
        <v>8</v>
      </c>
      <c r="B18" s="433" t="s">
        <v>1193</v>
      </c>
      <c r="C18" s="390" t="s">
        <v>892</v>
      </c>
      <c r="D18" s="433"/>
      <c r="E18" s="391">
        <f>SUM(E19:E22)</f>
        <v>24148.399999999998</v>
      </c>
      <c r="F18" s="391">
        <f t="shared" ref="F18:G18" si="2">SUM(F19:F22)</f>
        <v>23428.699999999997</v>
      </c>
      <c r="G18" s="391">
        <f t="shared" si="2"/>
        <v>23119.4</v>
      </c>
    </row>
    <row r="19" spans="1:7" ht="110.25" x14ac:dyDescent="0.25">
      <c r="A19" s="392">
        <v>9</v>
      </c>
      <c r="B19" s="436" t="s">
        <v>1194</v>
      </c>
      <c r="C19" s="393" t="s">
        <v>1195</v>
      </c>
      <c r="D19" s="508" t="s">
        <v>1196</v>
      </c>
      <c r="E19" s="396">
        <v>11806.1</v>
      </c>
      <c r="F19" s="396">
        <v>11425</v>
      </c>
      <c r="G19" s="396">
        <v>11246.7</v>
      </c>
    </row>
    <row r="20" spans="1:7" ht="141.75" x14ac:dyDescent="0.25">
      <c r="A20" s="392">
        <v>10</v>
      </c>
      <c r="B20" s="436" t="s">
        <v>1197</v>
      </c>
      <c r="C20" s="393" t="s">
        <v>1198</v>
      </c>
      <c r="D20" s="509"/>
      <c r="E20" s="396">
        <v>66.8</v>
      </c>
      <c r="F20" s="396">
        <v>64.5</v>
      </c>
      <c r="G20" s="396">
        <v>63.6</v>
      </c>
    </row>
    <row r="21" spans="1:7" ht="126" x14ac:dyDescent="0.25">
      <c r="A21" s="392">
        <v>11</v>
      </c>
      <c r="B21" s="436" t="s">
        <v>1199</v>
      </c>
      <c r="C21" s="393" t="s">
        <v>1200</v>
      </c>
      <c r="D21" s="509"/>
      <c r="E21" s="396">
        <v>13590.8</v>
      </c>
      <c r="F21" s="396">
        <v>13152.1</v>
      </c>
      <c r="G21" s="396">
        <v>12946.9</v>
      </c>
    </row>
    <row r="22" spans="1:7" ht="126" x14ac:dyDescent="0.25">
      <c r="A22" s="392">
        <v>12</v>
      </c>
      <c r="B22" s="436" t="s">
        <v>1201</v>
      </c>
      <c r="C22" s="393" t="s">
        <v>1202</v>
      </c>
      <c r="D22" s="510"/>
      <c r="E22" s="396">
        <v>-1315.3</v>
      </c>
      <c r="F22" s="396">
        <v>-1212.9000000000001</v>
      </c>
      <c r="G22" s="396">
        <v>-1137.8</v>
      </c>
    </row>
    <row r="23" spans="1:7" ht="15.75" x14ac:dyDescent="0.25">
      <c r="A23" s="387">
        <v>13</v>
      </c>
      <c r="B23" s="433" t="s">
        <v>1203</v>
      </c>
      <c r="C23" s="390" t="s">
        <v>904</v>
      </c>
      <c r="D23" s="433"/>
      <c r="E23" s="391">
        <f>E27+E29+E24</f>
        <v>4036.2</v>
      </c>
      <c r="F23" s="391">
        <f t="shared" ref="F23:G23" si="3">F27+F29+F24</f>
        <v>4182.3</v>
      </c>
      <c r="G23" s="391">
        <f t="shared" si="3"/>
        <v>4275.3</v>
      </c>
    </row>
    <row r="24" spans="1:7" ht="31.5" x14ac:dyDescent="0.25">
      <c r="A24" s="387">
        <v>14</v>
      </c>
      <c r="B24" s="436" t="s">
        <v>1204</v>
      </c>
      <c r="C24" s="393" t="s">
        <v>1205</v>
      </c>
      <c r="D24" s="508" t="s">
        <v>1187</v>
      </c>
      <c r="E24" s="397">
        <f>E25+E26</f>
        <v>1309.2</v>
      </c>
      <c r="F24" s="397">
        <f t="shared" ref="F24:G24" si="4">F25+F26</f>
        <v>1356.3</v>
      </c>
      <c r="G24" s="397">
        <f t="shared" si="4"/>
        <v>1362.3000000000002</v>
      </c>
    </row>
    <row r="25" spans="1:7" ht="47.25" x14ac:dyDescent="0.25">
      <c r="A25" s="387">
        <v>15</v>
      </c>
      <c r="B25" s="436" t="s">
        <v>1206</v>
      </c>
      <c r="C25" s="393" t="s">
        <v>1207</v>
      </c>
      <c r="D25" s="509"/>
      <c r="E25" s="398">
        <v>839.1</v>
      </c>
      <c r="F25" s="398">
        <v>869.3</v>
      </c>
      <c r="G25" s="398">
        <v>860.2</v>
      </c>
    </row>
    <row r="26" spans="1:7" ht="63" x14ac:dyDescent="0.25">
      <c r="A26" s="387">
        <v>16</v>
      </c>
      <c r="B26" s="436" t="s">
        <v>1208</v>
      </c>
      <c r="C26" s="393" t="s">
        <v>1209</v>
      </c>
      <c r="D26" s="509"/>
      <c r="E26" s="398">
        <v>470.1</v>
      </c>
      <c r="F26" s="398">
        <v>487</v>
      </c>
      <c r="G26" s="398">
        <v>502.1</v>
      </c>
    </row>
    <row r="27" spans="1:7" ht="15.75" customHeight="1" x14ac:dyDescent="0.25">
      <c r="A27" s="392">
        <v>17</v>
      </c>
      <c r="B27" s="436" t="s">
        <v>1210</v>
      </c>
      <c r="C27" s="393" t="s">
        <v>908</v>
      </c>
      <c r="D27" s="509"/>
      <c r="E27" s="399">
        <f>E28</f>
        <v>2154</v>
      </c>
      <c r="F27" s="399">
        <f>F28</f>
        <v>2232</v>
      </c>
      <c r="G27" s="399">
        <f>G28</f>
        <v>2301</v>
      </c>
    </row>
    <row r="28" spans="1:7" ht="15.75" x14ac:dyDescent="0.25">
      <c r="A28" s="392">
        <v>18</v>
      </c>
      <c r="B28" s="436" t="s">
        <v>1211</v>
      </c>
      <c r="C28" s="393" t="s">
        <v>908</v>
      </c>
      <c r="D28" s="509"/>
      <c r="E28" s="399">
        <v>2154</v>
      </c>
      <c r="F28" s="399">
        <v>2232</v>
      </c>
      <c r="G28" s="399">
        <v>2301</v>
      </c>
    </row>
    <row r="29" spans="1:7" ht="31.5" x14ac:dyDescent="0.25">
      <c r="A29" s="392">
        <v>19</v>
      </c>
      <c r="B29" s="436" t="s">
        <v>1212</v>
      </c>
      <c r="C29" s="393" t="s">
        <v>911</v>
      </c>
      <c r="D29" s="509"/>
      <c r="E29" s="394">
        <f>E30</f>
        <v>573</v>
      </c>
      <c r="F29" s="394">
        <f t="shared" ref="F29:G29" si="5">F30</f>
        <v>594</v>
      </c>
      <c r="G29" s="394">
        <f t="shared" si="5"/>
        <v>612</v>
      </c>
    </row>
    <row r="30" spans="1:7" ht="63" x14ac:dyDescent="0.25">
      <c r="A30" s="392">
        <v>20</v>
      </c>
      <c r="B30" s="436" t="s">
        <v>1213</v>
      </c>
      <c r="C30" s="393" t="s">
        <v>1214</v>
      </c>
      <c r="D30" s="510"/>
      <c r="E30" s="394">
        <v>573</v>
      </c>
      <c r="F30" s="394">
        <v>594</v>
      </c>
      <c r="G30" s="394">
        <v>612</v>
      </c>
    </row>
    <row r="31" spans="1:7" ht="15.75" x14ac:dyDescent="0.25">
      <c r="A31" s="387">
        <v>21</v>
      </c>
      <c r="B31" s="433" t="s">
        <v>1215</v>
      </c>
      <c r="C31" s="390" t="s">
        <v>915</v>
      </c>
      <c r="D31" s="433"/>
      <c r="E31" s="391">
        <f>SUM(E34+E32+E37)</f>
        <v>7175</v>
      </c>
      <c r="F31" s="391">
        <f t="shared" ref="F31:G31" si="6">SUM(F34+F32+F37)</f>
        <v>7315</v>
      </c>
      <c r="G31" s="391">
        <f t="shared" si="6"/>
        <v>7458</v>
      </c>
    </row>
    <row r="32" spans="1:7" ht="31.5" x14ac:dyDescent="0.25">
      <c r="A32" s="392">
        <v>22</v>
      </c>
      <c r="B32" s="400" t="s">
        <v>1216</v>
      </c>
      <c r="C32" s="401" t="s">
        <v>1217</v>
      </c>
      <c r="D32" s="508" t="s">
        <v>1187</v>
      </c>
      <c r="E32" s="402">
        <f>E33</f>
        <v>1567</v>
      </c>
      <c r="F32" s="402">
        <f t="shared" ref="F32:G32" si="7">F33</f>
        <v>1583</v>
      </c>
      <c r="G32" s="402">
        <f t="shared" si="7"/>
        <v>1599</v>
      </c>
    </row>
    <row r="33" spans="1:7" ht="78.75" x14ac:dyDescent="0.25">
      <c r="A33" s="392">
        <v>23</v>
      </c>
      <c r="B33" s="400" t="s">
        <v>1218</v>
      </c>
      <c r="C33" s="401" t="s">
        <v>919</v>
      </c>
      <c r="D33" s="509"/>
      <c r="E33" s="402">
        <v>1567</v>
      </c>
      <c r="F33" s="402">
        <v>1583</v>
      </c>
      <c r="G33" s="402">
        <v>1599</v>
      </c>
    </row>
    <row r="34" spans="1:7" ht="15.75" x14ac:dyDescent="0.25">
      <c r="A34" s="387">
        <v>24</v>
      </c>
      <c r="B34" s="436" t="s">
        <v>1219</v>
      </c>
      <c r="C34" s="393" t="s">
        <v>921</v>
      </c>
      <c r="D34" s="509"/>
      <c r="E34" s="394">
        <f>SUM(E35:E36)</f>
        <v>0</v>
      </c>
      <c r="F34" s="394">
        <f t="shared" ref="F34:G34" si="8">SUM(F35:F36)</f>
        <v>0</v>
      </c>
      <c r="G34" s="394">
        <f t="shared" si="8"/>
        <v>0</v>
      </c>
    </row>
    <row r="35" spans="1:7" ht="15.75" x14ac:dyDescent="0.25">
      <c r="A35" s="387">
        <v>25</v>
      </c>
      <c r="B35" s="436" t="s">
        <v>1220</v>
      </c>
      <c r="C35" s="393" t="s">
        <v>923</v>
      </c>
      <c r="D35" s="509"/>
      <c r="E35" s="399">
        <v>0</v>
      </c>
      <c r="F35" s="399">
        <v>0</v>
      </c>
      <c r="G35" s="399">
        <v>0</v>
      </c>
    </row>
    <row r="36" spans="1:7" ht="15.75" x14ac:dyDescent="0.25">
      <c r="A36" s="392">
        <v>26</v>
      </c>
      <c r="B36" s="436" t="s">
        <v>1221</v>
      </c>
      <c r="C36" s="393" t="s">
        <v>925</v>
      </c>
      <c r="D36" s="509"/>
      <c r="E36" s="399">
        <v>0</v>
      </c>
      <c r="F36" s="399">
        <v>0</v>
      </c>
      <c r="G36" s="399">
        <v>0</v>
      </c>
    </row>
    <row r="37" spans="1:7" ht="15.75" x14ac:dyDescent="0.25">
      <c r="A37" s="392">
        <v>27</v>
      </c>
      <c r="B37" s="436" t="s">
        <v>1222</v>
      </c>
      <c r="C37" s="393" t="s">
        <v>927</v>
      </c>
      <c r="D37" s="509"/>
      <c r="E37" s="403">
        <f>E38+E39</f>
        <v>5608</v>
      </c>
      <c r="F37" s="403">
        <f t="shared" ref="F37:G37" si="9">F38+F39</f>
        <v>5732</v>
      </c>
      <c r="G37" s="403">
        <f t="shared" si="9"/>
        <v>5859</v>
      </c>
    </row>
    <row r="38" spans="1:7" ht="78.75" x14ac:dyDescent="0.25">
      <c r="A38" s="392">
        <v>28</v>
      </c>
      <c r="B38" s="436" t="s">
        <v>1223</v>
      </c>
      <c r="C38" s="393" t="s">
        <v>1224</v>
      </c>
      <c r="D38" s="509"/>
      <c r="E38" s="399">
        <v>3351</v>
      </c>
      <c r="F38" s="399">
        <v>3452</v>
      </c>
      <c r="G38" s="399">
        <v>3556</v>
      </c>
    </row>
    <row r="39" spans="1:7" ht="78.75" x14ac:dyDescent="0.25">
      <c r="A39" s="392">
        <v>29</v>
      </c>
      <c r="B39" s="436" t="s">
        <v>1225</v>
      </c>
      <c r="C39" s="393" t="s">
        <v>1226</v>
      </c>
      <c r="D39" s="510"/>
      <c r="E39" s="399">
        <v>2257</v>
      </c>
      <c r="F39" s="399">
        <v>2280</v>
      </c>
      <c r="G39" s="399">
        <v>2303</v>
      </c>
    </row>
    <row r="40" spans="1:7" ht="15.75" x14ac:dyDescent="0.25">
      <c r="A40" s="387">
        <v>30</v>
      </c>
      <c r="B40" s="433" t="s">
        <v>1227</v>
      </c>
      <c r="C40" s="390" t="s">
        <v>933</v>
      </c>
      <c r="D40" s="433"/>
      <c r="E40" s="391">
        <f>E41+E45+E43</f>
        <v>1472.3000000000002</v>
      </c>
      <c r="F40" s="391">
        <f t="shared" ref="F40:G40" si="10">F41+F45+F43</f>
        <v>1473.7</v>
      </c>
      <c r="G40" s="391">
        <f t="shared" si="10"/>
        <v>1475.1000000000001</v>
      </c>
    </row>
    <row r="41" spans="1:7" ht="47.25" x14ac:dyDescent="0.25">
      <c r="A41" s="392">
        <v>31</v>
      </c>
      <c r="B41" s="400" t="s">
        <v>1228</v>
      </c>
      <c r="C41" s="401" t="s">
        <v>935</v>
      </c>
      <c r="D41" s="515" t="s">
        <v>1187</v>
      </c>
      <c r="E41" s="399">
        <f>E42</f>
        <v>1400</v>
      </c>
      <c r="F41" s="399">
        <f t="shared" ref="F41:G41" si="11">F42</f>
        <v>1400</v>
      </c>
      <c r="G41" s="399">
        <f t="shared" si="11"/>
        <v>1400</v>
      </c>
    </row>
    <row r="42" spans="1:7" ht="94.5" x14ac:dyDescent="0.25">
      <c r="A42" s="392">
        <v>32</v>
      </c>
      <c r="B42" s="436" t="s">
        <v>1229</v>
      </c>
      <c r="C42" s="393" t="s">
        <v>1230</v>
      </c>
      <c r="D42" s="516"/>
      <c r="E42" s="399">
        <v>1400</v>
      </c>
      <c r="F42" s="399">
        <v>1400</v>
      </c>
      <c r="G42" s="399">
        <v>1400</v>
      </c>
    </row>
    <row r="43" spans="1:7" ht="78.75" x14ac:dyDescent="0.25">
      <c r="A43" s="392">
        <v>33</v>
      </c>
      <c r="B43" s="436" t="s">
        <v>1231</v>
      </c>
      <c r="C43" s="393" t="s">
        <v>1232</v>
      </c>
      <c r="D43" s="508" t="s">
        <v>665</v>
      </c>
      <c r="E43" s="403">
        <f>E44</f>
        <v>33.9</v>
      </c>
      <c r="F43" s="403">
        <f t="shared" ref="F43:G43" si="12">F44</f>
        <v>35.299999999999997</v>
      </c>
      <c r="G43" s="403">
        <f t="shared" si="12"/>
        <v>36.700000000000003</v>
      </c>
    </row>
    <row r="44" spans="1:7" ht="126" x14ac:dyDescent="0.25">
      <c r="A44" s="392">
        <v>34</v>
      </c>
      <c r="B44" s="436" t="s">
        <v>1233</v>
      </c>
      <c r="C44" s="393" t="s">
        <v>1234</v>
      </c>
      <c r="D44" s="509"/>
      <c r="E44" s="403">
        <v>33.9</v>
      </c>
      <c r="F44" s="403">
        <v>35.299999999999997</v>
      </c>
      <c r="G44" s="403">
        <v>36.700000000000003</v>
      </c>
    </row>
    <row r="45" spans="1:7" ht="63" x14ac:dyDescent="0.25">
      <c r="A45" s="392">
        <v>35</v>
      </c>
      <c r="B45" s="436" t="s">
        <v>1235</v>
      </c>
      <c r="C45" s="393" t="s">
        <v>943</v>
      </c>
      <c r="D45" s="509"/>
      <c r="E45" s="394">
        <f>E46</f>
        <v>38.4</v>
      </c>
      <c r="F45" s="394">
        <f t="shared" ref="F45:G45" si="13">F46</f>
        <v>38.4</v>
      </c>
      <c r="G45" s="394">
        <f t="shared" si="13"/>
        <v>38.4</v>
      </c>
    </row>
    <row r="46" spans="1:7" ht="141.75" x14ac:dyDescent="0.25">
      <c r="A46" s="392">
        <v>36</v>
      </c>
      <c r="B46" s="436" t="s">
        <v>1236</v>
      </c>
      <c r="C46" s="393" t="s">
        <v>1237</v>
      </c>
      <c r="D46" s="510"/>
      <c r="E46" s="394">
        <v>38.4</v>
      </c>
      <c r="F46" s="394">
        <v>38.4</v>
      </c>
      <c r="G46" s="394">
        <v>38.4</v>
      </c>
    </row>
    <row r="47" spans="1:7" ht="78.75" x14ac:dyDescent="0.25">
      <c r="A47" s="387">
        <v>37</v>
      </c>
      <c r="B47" s="433" t="s">
        <v>1238</v>
      </c>
      <c r="C47" s="390" t="s">
        <v>948</v>
      </c>
      <c r="D47" s="433"/>
      <c r="E47" s="391">
        <f>E48+E55</f>
        <v>6297</v>
      </c>
      <c r="F47" s="391">
        <f>F48+F55</f>
        <v>6297</v>
      </c>
      <c r="G47" s="391">
        <f>G48+G55</f>
        <v>6297</v>
      </c>
    </row>
    <row r="48" spans="1:7" ht="141.75" x14ac:dyDescent="0.25">
      <c r="A48" s="392">
        <v>38</v>
      </c>
      <c r="B48" s="436" t="s">
        <v>1239</v>
      </c>
      <c r="C48" s="393" t="s">
        <v>950</v>
      </c>
      <c r="D48" s="508" t="s">
        <v>665</v>
      </c>
      <c r="E48" s="394">
        <f>E49+E51+E53</f>
        <v>5474.8</v>
      </c>
      <c r="F48" s="394">
        <f t="shared" ref="F48:G48" si="14">F49+F51+F53</f>
        <v>5474.8</v>
      </c>
      <c r="G48" s="394">
        <f t="shared" si="14"/>
        <v>5474.8</v>
      </c>
    </row>
    <row r="49" spans="1:7" ht="94.5" x14ac:dyDescent="0.25">
      <c r="A49" s="392">
        <v>39</v>
      </c>
      <c r="B49" s="436" t="s">
        <v>1240</v>
      </c>
      <c r="C49" s="393" t="s">
        <v>1241</v>
      </c>
      <c r="D49" s="509"/>
      <c r="E49" s="395">
        <f>E50</f>
        <v>4737.3</v>
      </c>
      <c r="F49" s="395">
        <f t="shared" ref="F49:G49" si="15">F50</f>
        <v>4737.3</v>
      </c>
      <c r="G49" s="395">
        <f t="shared" si="15"/>
        <v>4737.3</v>
      </c>
    </row>
    <row r="50" spans="1:7" ht="141.75" x14ac:dyDescent="0.25">
      <c r="A50" s="392">
        <v>40</v>
      </c>
      <c r="B50" s="436" t="s">
        <v>1242</v>
      </c>
      <c r="C50" s="393" t="s">
        <v>1243</v>
      </c>
      <c r="D50" s="509"/>
      <c r="E50" s="395">
        <v>4737.3</v>
      </c>
      <c r="F50" s="395">
        <v>4737.3</v>
      </c>
      <c r="G50" s="395">
        <v>4737.3</v>
      </c>
    </row>
    <row r="51" spans="1:7" ht="126" x14ac:dyDescent="0.25">
      <c r="A51" s="392">
        <v>41</v>
      </c>
      <c r="B51" s="436" t="s">
        <v>1244</v>
      </c>
      <c r="C51" s="393" t="s">
        <v>1245</v>
      </c>
      <c r="D51" s="509"/>
      <c r="E51" s="403">
        <f>E52</f>
        <v>195.7</v>
      </c>
      <c r="F51" s="403">
        <f t="shared" ref="F51:G51" si="16">F52</f>
        <v>195.7</v>
      </c>
      <c r="G51" s="403">
        <f t="shared" si="16"/>
        <v>195.7</v>
      </c>
    </row>
    <row r="52" spans="1:7" ht="126" x14ac:dyDescent="0.25">
      <c r="A52" s="392">
        <v>42</v>
      </c>
      <c r="B52" s="436" t="s">
        <v>1246</v>
      </c>
      <c r="C52" s="393" t="s">
        <v>1247</v>
      </c>
      <c r="D52" s="509"/>
      <c r="E52" s="403">
        <v>195.7</v>
      </c>
      <c r="F52" s="403">
        <v>195.7</v>
      </c>
      <c r="G52" s="403">
        <v>195.7</v>
      </c>
    </row>
    <row r="53" spans="1:7" ht="126" x14ac:dyDescent="0.25">
      <c r="A53" s="392">
        <v>43</v>
      </c>
      <c r="B53" s="436" t="s">
        <v>1248</v>
      </c>
      <c r="C53" s="393" t="s">
        <v>1249</v>
      </c>
      <c r="D53" s="509"/>
      <c r="E53" s="403">
        <f>E54</f>
        <v>541.79999999999995</v>
      </c>
      <c r="F53" s="403">
        <f t="shared" ref="F53:G53" si="17">F54</f>
        <v>541.79999999999995</v>
      </c>
      <c r="G53" s="403">
        <f t="shared" si="17"/>
        <v>541.79999999999995</v>
      </c>
    </row>
    <row r="54" spans="1:7" ht="94.5" x14ac:dyDescent="0.25">
      <c r="A54" s="392">
        <v>44</v>
      </c>
      <c r="B54" s="436" t="s">
        <v>1250</v>
      </c>
      <c r="C54" s="393" t="s">
        <v>956</v>
      </c>
      <c r="D54" s="509"/>
      <c r="E54" s="403">
        <v>541.79999999999995</v>
      </c>
      <c r="F54" s="403">
        <v>541.79999999999995</v>
      </c>
      <c r="G54" s="403">
        <v>541.79999999999995</v>
      </c>
    </row>
    <row r="55" spans="1:7" ht="126" x14ac:dyDescent="0.25">
      <c r="A55" s="392">
        <v>45</v>
      </c>
      <c r="B55" s="436" t="s">
        <v>1251</v>
      </c>
      <c r="C55" s="393" t="s">
        <v>958</v>
      </c>
      <c r="D55" s="434"/>
      <c r="E55" s="403">
        <f>E56</f>
        <v>822.2</v>
      </c>
      <c r="F55" s="403">
        <f t="shared" ref="F55:G55" si="18">F56</f>
        <v>822.2</v>
      </c>
      <c r="G55" s="403">
        <f t="shared" si="18"/>
        <v>822.2</v>
      </c>
    </row>
    <row r="56" spans="1:7" ht="157.5" x14ac:dyDescent="0.25">
      <c r="A56" s="392">
        <v>46</v>
      </c>
      <c r="B56" s="436" t="s">
        <v>1252</v>
      </c>
      <c r="C56" s="393" t="s">
        <v>1253</v>
      </c>
      <c r="D56" s="434"/>
      <c r="E56" s="403">
        <v>822.2</v>
      </c>
      <c r="F56" s="403">
        <v>822.2</v>
      </c>
      <c r="G56" s="403">
        <v>822.2</v>
      </c>
    </row>
    <row r="57" spans="1:7" ht="31.5" x14ac:dyDescent="0.25">
      <c r="A57" s="387">
        <v>47</v>
      </c>
      <c r="B57" s="433" t="s">
        <v>1254</v>
      </c>
      <c r="C57" s="390" t="s">
        <v>962</v>
      </c>
      <c r="D57" s="433"/>
      <c r="E57" s="404">
        <f>E58</f>
        <v>159.39999999999998</v>
      </c>
      <c r="F57" s="404">
        <f t="shared" ref="F57:G57" si="19">F58</f>
        <v>159.39999999999998</v>
      </c>
      <c r="G57" s="404">
        <f t="shared" si="19"/>
        <v>159.39999999999998</v>
      </c>
    </row>
    <row r="58" spans="1:7" ht="31.5" x14ac:dyDescent="0.25">
      <c r="A58" s="392">
        <v>48</v>
      </c>
      <c r="B58" s="436" t="s">
        <v>1255</v>
      </c>
      <c r="C58" s="393" t="s">
        <v>964</v>
      </c>
      <c r="D58" s="508" t="s">
        <v>1256</v>
      </c>
      <c r="E58" s="394">
        <f>SUM(E59:E61)</f>
        <v>159.39999999999998</v>
      </c>
      <c r="F58" s="394">
        <f>SUM(F59:F61)</f>
        <v>159.39999999999998</v>
      </c>
      <c r="G58" s="394">
        <f>SUM(G59:G61)</f>
        <v>159.39999999999998</v>
      </c>
    </row>
    <row r="59" spans="1:7" ht="47.25" x14ac:dyDescent="0.25">
      <c r="A59" s="392">
        <v>49</v>
      </c>
      <c r="B59" s="436" t="s">
        <v>1257</v>
      </c>
      <c r="C59" s="393" t="s">
        <v>1258</v>
      </c>
      <c r="D59" s="509"/>
      <c r="E59" s="394">
        <v>159.19999999999999</v>
      </c>
      <c r="F59" s="394">
        <v>159.19999999999999</v>
      </c>
      <c r="G59" s="394">
        <v>159.19999999999999</v>
      </c>
    </row>
    <row r="60" spans="1:7" ht="31.5" x14ac:dyDescent="0.25">
      <c r="A60" s="392">
        <v>50</v>
      </c>
      <c r="B60" s="436" t="s">
        <v>1259</v>
      </c>
      <c r="C60" s="393" t="s">
        <v>968</v>
      </c>
      <c r="D60" s="509"/>
      <c r="E60" s="394">
        <v>0.2</v>
      </c>
      <c r="F60" s="394">
        <v>0.2</v>
      </c>
      <c r="G60" s="394">
        <v>0.2</v>
      </c>
    </row>
    <row r="61" spans="1:7" ht="15.75" x14ac:dyDescent="0.25">
      <c r="A61" s="392">
        <v>51</v>
      </c>
      <c r="B61" s="436" t="s">
        <v>1260</v>
      </c>
      <c r="C61" s="393" t="s">
        <v>1261</v>
      </c>
      <c r="D61" s="509"/>
      <c r="E61" s="394">
        <f>'[2]Приложение Доходы'!C61</f>
        <v>0</v>
      </c>
      <c r="F61" s="394">
        <f>'[2]Приложение Доходы'!D61</f>
        <v>0</v>
      </c>
      <c r="G61" s="394">
        <f>'[2]Приложение Доходы'!E61</f>
        <v>0</v>
      </c>
    </row>
    <row r="62" spans="1:7" ht="47.25" x14ac:dyDescent="0.25">
      <c r="A62" s="387">
        <v>52</v>
      </c>
      <c r="B62" s="433" t="s">
        <v>1262</v>
      </c>
      <c r="C62" s="390" t="s">
        <v>1263</v>
      </c>
      <c r="D62" s="433"/>
      <c r="E62" s="391">
        <f>E63+E66</f>
        <v>13167.2</v>
      </c>
      <c r="F62" s="391">
        <f t="shared" ref="F62:G62" si="20">F63+F66</f>
        <v>13693.9</v>
      </c>
      <c r="G62" s="391">
        <f t="shared" si="20"/>
        <v>14241.7</v>
      </c>
    </row>
    <row r="63" spans="1:7" ht="15.75" x14ac:dyDescent="0.25">
      <c r="A63" s="392">
        <v>53</v>
      </c>
      <c r="B63" s="436" t="s">
        <v>1264</v>
      </c>
      <c r="C63" s="393" t="s">
        <v>974</v>
      </c>
      <c r="D63" s="508" t="s">
        <v>665</v>
      </c>
      <c r="E63" s="403">
        <f>E64</f>
        <v>12021.1</v>
      </c>
      <c r="F63" s="403">
        <f t="shared" ref="F63:G64" si="21">F64</f>
        <v>12502</v>
      </c>
      <c r="G63" s="403">
        <f t="shared" si="21"/>
        <v>13002.1</v>
      </c>
    </row>
    <row r="64" spans="1:7" ht="31.5" x14ac:dyDescent="0.25">
      <c r="A64" s="392">
        <v>54</v>
      </c>
      <c r="B64" s="436" t="s">
        <v>1265</v>
      </c>
      <c r="C64" s="393" t="s">
        <v>1266</v>
      </c>
      <c r="D64" s="509"/>
      <c r="E64" s="403">
        <f>E65</f>
        <v>12021.1</v>
      </c>
      <c r="F64" s="403">
        <f t="shared" si="21"/>
        <v>12502</v>
      </c>
      <c r="G64" s="403">
        <f t="shared" si="21"/>
        <v>13002.1</v>
      </c>
    </row>
    <row r="65" spans="1:7" ht="47.25" x14ac:dyDescent="0.25">
      <c r="A65" s="392">
        <v>55</v>
      </c>
      <c r="B65" s="436" t="s">
        <v>1267</v>
      </c>
      <c r="C65" s="393" t="s">
        <v>976</v>
      </c>
      <c r="D65" s="509"/>
      <c r="E65" s="403">
        <v>12021.1</v>
      </c>
      <c r="F65" s="403">
        <v>12502</v>
      </c>
      <c r="G65" s="403">
        <v>13002.1</v>
      </c>
    </row>
    <row r="66" spans="1:7" ht="15.75" x14ac:dyDescent="0.25">
      <c r="A66" s="392">
        <v>56</v>
      </c>
      <c r="B66" s="436" t="s">
        <v>1268</v>
      </c>
      <c r="C66" s="393" t="s">
        <v>978</v>
      </c>
      <c r="D66" s="509"/>
      <c r="E66" s="403">
        <f>SUM(E67)</f>
        <v>1146.0999999999999</v>
      </c>
      <c r="F66" s="403">
        <f t="shared" ref="F66:G66" si="22">SUM(F67)</f>
        <v>1191.9000000000001</v>
      </c>
      <c r="G66" s="403">
        <f t="shared" si="22"/>
        <v>1239.5999999999999</v>
      </c>
    </row>
    <row r="67" spans="1:7" ht="47.25" x14ac:dyDescent="0.25">
      <c r="A67" s="392">
        <v>57</v>
      </c>
      <c r="B67" s="436" t="s">
        <v>1269</v>
      </c>
      <c r="C67" s="393" t="s">
        <v>1270</v>
      </c>
      <c r="D67" s="509"/>
      <c r="E67" s="403">
        <f>E68</f>
        <v>1146.0999999999999</v>
      </c>
      <c r="F67" s="403">
        <f t="shared" ref="F67:G67" si="23">F68</f>
        <v>1191.9000000000001</v>
      </c>
      <c r="G67" s="403">
        <f t="shared" si="23"/>
        <v>1239.5999999999999</v>
      </c>
    </row>
    <row r="68" spans="1:7" ht="63" x14ac:dyDescent="0.25">
      <c r="A68" s="392">
        <v>58</v>
      </c>
      <c r="B68" s="436" t="s">
        <v>1271</v>
      </c>
      <c r="C68" s="393" t="s">
        <v>980</v>
      </c>
      <c r="D68" s="509"/>
      <c r="E68" s="403">
        <v>1146.0999999999999</v>
      </c>
      <c r="F68" s="403">
        <v>1191.9000000000001</v>
      </c>
      <c r="G68" s="403">
        <v>1239.5999999999999</v>
      </c>
    </row>
    <row r="69" spans="1:7" ht="47.25" x14ac:dyDescent="0.25">
      <c r="A69" s="387">
        <v>59</v>
      </c>
      <c r="B69" s="433" t="s">
        <v>1272</v>
      </c>
      <c r="C69" s="390" t="s">
        <v>984</v>
      </c>
      <c r="D69" s="433"/>
      <c r="E69" s="391">
        <f>SUM(E72+E70)</f>
        <v>258</v>
      </c>
      <c r="F69" s="391">
        <f t="shared" ref="F69:G69" si="24">SUM(F72)</f>
        <v>0</v>
      </c>
      <c r="G69" s="391">
        <f t="shared" si="24"/>
        <v>0</v>
      </c>
    </row>
    <row r="70" spans="1:7" ht="140.44999999999999" hidden="1" x14ac:dyDescent="0.3">
      <c r="A70" s="387">
        <v>58</v>
      </c>
      <c r="B70" s="436" t="s">
        <v>1273</v>
      </c>
      <c r="C70" s="393" t="s">
        <v>986</v>
      </c>
      <c r="D70" s="508" t="s">
        <v>665</v>
      </c>
      <c r="E70" s="398">
        <f>E71</f>
        <v>0</v>
      </c>
      <c r="F70" s="398">
        <f>F71</f>
        <v>0</v>
      </c>
      <c r="G70" s="398">
        <f>G71</f>
        <v>0</v>
      </c>
    </row>
    <row r="71" spans="1:7" ht="156" hidden="1" x14ac:dyDescent="0.3">
      <c r="A71" s="387">
        <v>59</v>
      </c>
      <c r="B71" s="436" t="s">
        <v>1274</v>
      </c>
      <c r="C71" s="393" t="s">
        <v>988</v>
      </c>
      <c r="D71" s="509"/>
      <c r="E71" s="398">
        <f>'[3]Приложение 3'!C67</f>
        <v>0</v>
      </c>
      <c r="F71" s="398">
        <f>'[3]Приложение 3'!D67</f>
        <v>0</v>
      </c>
      <c r="G71" s="398">
        <f>'[3]Приложение 3'!E67</f>
        <v>0</v>
      </c>
    </row>
    <row r="72" spans="1:7" ht="47.25" x14ac:dyDescent="0.25">
      <c r="A72" s="392">
        <v>60</v>
      </c>
      <c r="B72" s="436" t="s">
        <v>1275</v>
      </c>
      <c r="C72" s="393" t="s">
        <v>990</v>
      </c>
      <c r="D72" s="509"/>
      <c r="E72" s="403">
        <f>E73+E75</f>
        <v>258</v>
      </c>
      <c r="F72" s="403">
        <f t="shared" ref="F72:G72" si="25">F73+F75</f>
        <v>0</v>
      </c>
      <c r="G72" s="403">
        <f t="shared" si="25"/>
        <v>0</v>
      </c>
    </row>
    <row r="73" spans="1:7" ht="47.25" x14ac:dyDescent="0.25">
      <c r="A73" s="392">
        <v>61</v>
      </c>
      <c r="B73" s="436" t="s">
        <v>1276</v>
      </c>
      <c r="C73" s="393" t="s">
        <v>1277</v>
      </c>
      <c r="D73" s="509"/>
      <c r="E73" s="403">
        <f>E74</f>
        <v>258</v>
      </c>
      <c r="F73" s="403">
        <f t="shared" ref="F73:G73" si="26">F74</f>
        <v>0</v>
      </c>
      <c r="G73" s="403">
        <f t="shared" si="26"/>
        <v>0</v>
      </c>
    </row>
    <row r="74" spans="1:7" ht="63" x14ac:dyDescent="0.25">
      <c r="A74" s="392">
        <v>62</v>
      </c>
      <c r="B74" s="436" t="s">
        <v>1278</v>
      </c>
      <c r="C74" s="393" t="s">
        <v>1279</v>
      </c>
      <c r="D74" s="509"/>
      <c r="E74" s="403">
        <v>258</v>
      </c>
      <c r="F74" s="403">
        <v>0</v>
      </c>
      <c r="G74" s="403">
        <v>0</v>
      </c>
    </row>
    <row r="75" spans="1:7" ht="78" hidden="1" x14ac:dyDescent="0.3">
      <c r="A75" s="392">
        <v>60</v>
      </c>
      <c r="B75" s="436" t="s">
        <v>1280</v>
      </c>
      <c r="C75" s="393" t="s">
        <v>1281</v>
      </c>
      <c r="D75" s="509"/>
      <c r="E75" s="403"/>
      <c r="F75" s="403"/>
      <c r="G75" s="403"/>
    </row>
    <row r="76" spans="1:7" ht="78" hidden="1" x14ac:dyDescent="0.3">
      <c r="A76" s="387">
        <v>61</v>
      </c>
      <c r="B76" s="436" t="s">
        <v>1282</v>
      </c>
      <c r="C76" s="393" t="s">
        <v>994</v>
      </c>
      <c r="D76" s="510"/>
      <c r="E76" s="403"/>
      <c r="F76" s="403"/>
      <c r="G76" s="403"/>
    </row>
    <row r="77" spans="1:7" ht="31.5" x14ac:dyDescent="0.25">
      <c r="A77" s="387">
        <v>63</v>
      </c>
      <c r="B77" s="433" t="s">
        <v>1283</v>
      </c>
      <c r="C77" s="390" t="s">
        <v>996</v>
      </c>
      <c r="D77" s="433"/>
      <c r="E77" s="391">
        <f>SUM(E78+E83)</f>
        <v>857.2</v>
      </c>
      <c r="F77" s="391">
        <f t="shared" ref="F77:G77" si="27">SUM(F78+F83)</f>
        <v>891.2</v>
      </c>
      <c r="G77" s="391">
        <f t="shared" si="27"/>
        <v>926.90000000000009</v>
      </c>
    </row>
    <row r="78" spans="1:7" ht="78.75" x14ac:dyDescent="0.25">
      <c r="A78" s="392">
        <v>64</v>
      </c>
      <c r="B78" s="436" t="s">
        <v>1284</v>
      </c>
      <c r="C78" s="393" t="s">
        <v>1285</v>
      </c>
      <c r="D78" s="515" t="s">
        <v>1286</v>
      </c>
      <c r="E78" s="395">
        <f>E79+E80+E82+E81</f>
        <v>58.300000000000004</v>
      </c>
      <c r="F78" s="395">
        <f t="shared" ref="F78:G78" si="28">F79+F80+F82+F81</f>
        <v>60.6</v>
      </c>
      <c r="G78" s="395">
        <f t="shared" si="28"/>
        <v>63.100000000000009</v>
      </c>
    </row>
    <row r="79" spans="1:7" ht="141.75" x14ac:dyDescent="0.25">
      <c r="A79" s="392">
        <v>65</v>
      </c>
      <c r="B79" s="436" t="s">
        <v>1287</v>
      </c>
      <c r="C79" s="393" t="s">
        <v>1288</v>
      </c>
      <c r="D79" s="517"/>
      <c r="E79" s="395">
        <v>14.8</v>
      </c>
      <c r="F79" s="395">
        <v>15.4</v>
      </c>
      <c r="G79" s="395">
        <v>16.100000000000001</v>
      </c>
    </row>
    <row r="80" spans="1:7" ht="189" x14ac:dyDescent="0.25">
      <c r="A80" s="392">
        <v>66</v>
      </c>
      <c r="B80" s="436" t="s">
        <v>1289</v>
      </c>
      <c r="C80" s="393" t="s">
        <v>1000</v>
      </c>
      <c r="D80" s="517"/>
      <c r="E80" s="395">
        <v>14.2</v>
      </c>
      <c r="F80" s="395">
        <v>14.7</v>
      </c>
      <c r="G80" s="395">
        <v>15.3</v>
      </c>
    </row>
    <row r="81" spans="1:7" ht="141.75" x14ac:dyDescent="0.25">
      <c r="A81" s="392">
        <v>67</v>
      </c>
      <c r="B81" s="436" t="s">
        <v>1290</v>
      </c>
      <c r="C81" s="393" t="s">
        <v>1291</v>
      </c>
      <c r="D81" s="517"/>
      <c r="E81" s="395">
        <v>6.6</v>
      </c>
      <c r="F81" s="395">
        <v>6.9</v>
      </c>
      <c r="G81" s="395">
        <v>7.2</v>
      </c>
    </row>
    <row r="82" spans="1:7" ht="141.75" x14ac:dyDescent="0.25">
      <c r="A82" s="392">
        <v>68</v>
      </c>
      <c r="B82" s="436" t="s">
        <v>1292</v>
      </c>
      <c r="C82" s="393" t="s">
        <v>1293</v>
      </c>
      <c r="D82" s="516"/>
      <c r="E82" s="395">
        <v>22.7</v>
      </c>
      <c r="F82" s="395">
        <v>23.6</v>
      </c>
      <c r="G82" s="395">
        <v>24.5</v>
      </c>
    </row>
    <row r="83" spans="1:7" ht="78.75" x14ac:dyDescent="0.25">
      <c r="A83" s="392">
        <v>69</v>
      </c>
      <c r="B83" s="436" t="s">
        <v>1294</v>
      </c>
      <c r="C83" s="393" t="s">
        <v>1285</v>
      </c>
      <c r="D83" s="515" t="s">
        <v>1295</v>
      </c>
      <c r="E83" s="395">
        <f>SUM(E84:E94)</f>
        <v>798.90000000000009</v>
      </c>
      <c r="F83" s="395">
        <f t="shared" ref="F83:G83" si="29">SUM(F84:F94)</f>
        <v>830.6</v>
      </c>
      <c r="G83" s="395">
        <f t="shared" si="29"/>
        <v>863.80000000000007</v>
      </c>
    </row>
    <row r="84" spans="1:7" ht="141.75" x14ac:dyDescent="0.25">
      <c r="A84" s="392">
        <v>70</v>
      </c>
      <c r="B84" s="436" t="s">
        <v>1296</v>
      </c>
      <c r="C84" s="393" t="s">
        <v>1288</v>
      </c>
      <c r="D84" s="517"/>
      <c r="E84" s="395">
        <v>49.3</v>
      </c>
      <c r="F84" s="395">
        <v>51.2</v>
      </c>
      <c r="G84" s="395">
        <v>53.2</v>
      </c>
    </row>
    <row r="85" spans="1:7" ht="189" x14ac:dyDescent="0.25">
      <c r="A85" s="392">
        <v>71</v>
      </c>
      <c r="B85" s="436" t="s">
        <v>1297</v>
      </c>
      <c r="C85" s="393" t="s">
        <v>1000</v>
      </c>
      <c r="D85" s="517"/>
      <c r="E85" s="395">
        <v>282</v>
      </c>
      <c r="F85" s="395">
        <v>293.3</v>
      </c>
      <c r="G85" s="395">
        <v>305</v>
      </c>
    </row>
    <row r="86" spans="1:7" ht="157.5" x14ac:dyDescent="0.25">
      <c r="A86" s="392">
        <v>72</v>
      </c>
      <c r="B86" s="400" t="s">
        <v>1298</v>
      </c>
      <c r="C86" s="401" t="s">
        <v>1002</v>
      </c>
      <c r="D86" s="517"/>
      <c r="E86" s="395">
        <v>53.1</v>
      </c>
      <c r="F86" s="395">
        <v>55.1</v>
      </c>
      <c r="G86" s="395">
        <v>57.3</v>
      </c>
    </row>
    <row r="87" spans="1:7" ht="157.5" x14ac:dyDescent="0.25">
      <c r="A87" s="392">
        <v>73</v>
      </c>
      <c r="B87" s="400" t="s">
        <v>1299</v>
      </c>
      <c r="C87" s="401" t="s">
        <v>1006</v>
      </c>
      <c r="D87" s="517"/>
      <c r="E87" s="395">
        <v>60.8</v>
      </c>
      <c r="F87" s="395">
        <v>63.2</v>
      </c>
      <c r="G87" s="395">
        <v>65.7</v>
      </c>
    </row>
    <row r="88" spans="1:7" ht="140.44999999999999" hidden="1" x14ac:dyDescent="0.3">
      <c r="A88" s="392">
        <v>73</v>
      </c>
      <c r="B88" s="400" t="s">
        <v>1300</v>
      </c>
      <c r="C88" s="401" t="s">
        <v>1008</v>
      </c>
      <c r="D88" s="517"/>
      <c r="E88" s="395">
        <v>0</v>
      </c>
      <c r="F88" s="395">
        <v>0</v>
      </c>
      <c r="G88" s="395">
        <v>0</v>
      </c>
    </row>
    <row r="89" spans="1:7" ht="189" x14ac:dyDescent="0.25">
      <c r="A89" s="392">
        <v>74</v>
      </c>
      <c r="B89" s="400" t="s">
        <v>1301</v>
      </c>
      <c r="C89" s="401" t="s">
        <v>1010</v>
      </c>
      <c r="D89" s="517"/>
      <c r="E89" s="395">
        <v>5.3</v>
      </c>
      <c r="F89" s="395">
        <v>5.5</v>
      </c>
      <c r="G89" s="395">
        <v>5.8</v>
      </c>
    </row>
    <row r="90" spans="1:7" ht="204.75" x14ac:dyDescent="0.25">
      <c r="A90" s="392">
        <v>75</v>
      </c>
      <c r="B90" s="400" t="s">
        <v>1302</v>
      </c>
      <c r="C90" s="401" t="s">
        <v>1303</v>
      </c>
      <c r="D90" s="517"/>
      <c r="E90" s="395">
        <v>3.9</v>
      </c>
      <c r="F90" s="395">
        <v>4</v>
      </c>
      <c r="G90" s="395">
        <v>4.2</v>
      </c>
    </row>
    <row r="91" spans="1:7" ht="157.5" x14ac:dyDescent="0.25">
      <c r="A91" s="392">
        <v>76</v>
      </c>
      <c r="B91" s="400" t="s">
        <v>1304</v>
      </c>
      <c r="C91" s="401" t="s">
        <v>1305</v>
      </c>
      <c r="D91" s="517"/>
      <c r="E91" s="395">
        <v>3.8</v>
      </c>
      <c r="F91" s="395">
        <v>4</v>
      </c>
      <c r="G91" s="395">
        <v>4.0999999999999996</v>
      </c>
    </row>
    <row r="92" spans="1:7" ht="141.75" x14ac:dyDescent="0.25">
      <c r="A92" s="392">
        <v>77</v>
      </c>
      <c r="B92" s="400" t="s">
        <v>1306</v>
      </c>
      <c r="C92" s="401" t="s">
        <v>1307</v>
      </c>
      <c r="D92" s="517"/>
      <c r="E92" s="395">
        <v>143.1</v>
      </c>
      <c r="F92" s="395">
        <v>148.9</v>
      </c>
      <c r="G92" s="395">
        <v>154.80000000000001</v>
      </c>
    </row>
    <row r="93" spans="1:7" ht="141.75" x14ac:dyDescent="0.25">
      <c r="A93" s="392">
        <v>78</v>
      </c>
      <c r="B93" s="436" t="s">
        <v>1308</v>
      </c>
      <c r="C93" s="393" t="s">
        <v>1293</v>
      </c>
      <c r="D93" s="517"/>
      <c r="E93" s="395">
        <v>171.6</v>
      </c>
      <c r="F93" s="395">
        <v>178.4</v>
      </c>
      <c r="G93" s="395">
        <v>185.6</v>
      </c>
    </row>
    <row r="94" spans="1:7" ht="375" x14ac:dyDescent="0.25">
      <c r="A94" s="392">
        <v>79</v>
      </c>
      <c r="B94" s="400" t="s">
        <v>1309</v>
      </c>
      <c r="C94" s="304" t="s">
        <v>1310</v>
      </c>
      <c r="D94" s="516"/>
      <c r="E94" s="395">
        <v>26</v>
      </c>
      <c r="F94" s="395">
        <v>27</v>
      </c>
      <c r="G94" s="395">
        <v>28.1</v>
      </c>
    </row>
    <row r="95" spans="1:7" ht="15.75" x14ac:dyDescent="0.25">
      <c r="A95" s="387">
        <v>80</v>
      </c>
      <c r="B95" s="433" t="s">
        <v>1311</v>
      </c>
      <c r="C95" s="390" t="s">
        <v>1040</v>
      </c>
      <c r="D95" s="433"/>
      <c r="E95" s="391">
        <f>SUM(E96)</f>
        <v>751557.00000000012</v>
      </c>
      <c r="F95" s="391">
        <f t="shared" ref="F95:G95" si="30">SUM(F96)</f>
        <v>708030</v>
      </c>
      <c r="G95" s="391">
        <f t="shared" si="30"/>
        <v>766573.6</v>
      </c>
    </row>
    <row r="96" spans="1:7" ht="63" x14ac:dyDescent="0.25">
      <c r="A96" s="387">
        <v>81</v>
      </c>
      <c r="B96" s="433" t="s">
        <v>1312</v>
      </c>
      <c r="C96" s="390" t="s">
        <v>1042</v>
      </c>
      <c r="D96" s="433"/>
      <c r="E96" s="391">
        <f>SUM(E97+E101+E109+E116)</f>
        <v>751557.00000000012</v>
      </c>
      <c r="F96" s="391">
        <f t="shared" ref="F96:G96" si="31">SUM(F97+F101+F109+F116)</f>
        <v>708030</v>
      </c>
      <c r="G96" s="391">
        <f t="shared" si="31"/>
        <v>766573.6</v>
      </c>
    </row>
    <row r="97" spans="1:7" ht="47.25" x14ac:dyDescent="0.25">
      <c r="A97" s="392">
        <v>82</v>
      </c>
      <c r="B97" s="436" t="s">
        <v>1313</v>
      </c>
      <c r="C97" s="393" t="s">
        <v>1314</v>
      </c>
      <c r="D97" s="508" t="s">
        <v>759</v>
      </c>
      <c r="E97" s="396">
        <f>E98+E100+E99</f>
        <v>340104.7</v>
      </c>
      <c r="F97" s="396">
        <f t="shared" ref="F97:G97" si="32">F98+F100+F99</f>
        <v>338260.7</v>
      </c>
      <c r="G97" s="396">
        <f t="shared" si="32"/>
        <v>361108.6</v>
      </c>
    </row>
    <row r="98" spans="1:7" ht="47.25" x14ac:dyDescent="0.25">
      <c r="A98" s="392">
        <v>83</v>
      </c>
      <c r="B98" s="400" t="s">
        <v>1315</v>
      </c>
      <c r="C98" s="401" t="s">
        <v>1046</v>
      </c>
      <c r="D98" s="509"/>
      <c r="E98" s="396">
        <f>'[2]Приложение Доходы'!C88</f>
        <v>339606.3</v>
      </c>
      <c r="F98" s="396">
        <f>'[2]Приложение Доходы'!D88</f>
        <v>338260.7</v>
      </c>
      <c r="G98" s="396">
        <f>'[2]Приложение Доходы'!E88</f>
        <v>361108.6</v>
      </c>
    </row>
    <row r="99" spans="1:7" ht="47.25" x14ac:dyDescent="0.25">
      <c r="A99" s="392">
        <v>84</v>
      </c>
      <c r="B99" s="400" t="s">
        <v>1316</v>
      </c>
      <c r="C99" s="401" t="s">
        <v>1048</v>
      </c>
      <c r="D99" s="509"/>
      <c r="E99" s="396">
        <f>'[2]Приложение Доходы'!C89</f>
        <v>0</v>
      </c>
      <c r="F99" s="396">
        <f>'[2]Приложение Доходы'!D89</f>
        <v>0</v>
      </c>
      <c r="G99" s="396">
        <f>'[2]Приложение Доходы'!E89</f>
        <v>0</v>
      </c>
    </row>
    <row r="100" spans="1:7" ht="31.5" x14ac:dyDescent="0.25">
      <c r="A100" s="392">
        <v>85</v>
      </c>
      <c r="B100" s="400" t="s">
        <v>1317</v>
      </c>
      <c r="C100" s="401" t="s">
        <v>1318</v>
      </c>
      <c r="D100" s="509"/>
      <c r="E100" s="396">
        <f>'[2]Приложение Доходы'!C94</f>
        <v>498.4</v>
      </c>
      <c r="F100" s="396">
        <f>'[2]Приложение Доходы'!D94</f>
        <v>0</v>
      </c>
      <c r="G100" s="396">
        <f>'[2]Приложение Доходы'!E94</f>
        <v>0</v>
      </c>
    </row>
    <row r="101" spans="1:7" ht="31.5" x14ac:dyDescent="0.25">
      <c r="A101" s="392">
        <v>86</v>
      </c>
      <c r="B101" s="436" t="s">
        <v>1319</v>
      </c>
      <c r="C101" s="393" t="s">
        <v>1320</v>
      </c>
      <c r="D101" s="509"/>
      <c r="E101" s="394">
        <f>E102+E103+E105+E107</f>
        <v>96770.799999999988</v>
      </c>
      <c r="F101" s="394">
        <f t="shared" ref="F101:G101" si="33">F102+F103+F105+F107</f>
        <v>60666</v>
      </c>
      <c r="G101" s="394">
        <f t="shared" si="33"/>
        <v>102737.1</v>
      </c>
    </row>
    <row r="102" spans="1:7" ht="47.25" x14ac:dyDescent="0.25">
      <c r="A102" s="392">
        <v>87</v>
      </c>
      <c r="B102" s="400" t="s">
        <v>1368</v>
      </c>
      <c r="C102" s="407" t="s">
        <v>1369</v>
      </c>
      <c r="D102" s="509"/>
      <c r="E102" s="394">
        <v>58338.9</v>
      </c>
      <c r="F102" s="394">
        <v>10359.5</v>
      </c>
      <c r="G102" s="394">
        <v>49646</v>
      </c>
    </row>
    <row r="103" spans="1:7" ht="47.25" x14ac:dyDescent="0.25">
      <c r="A103" s="392">
        <v>88</v>
      </c>
      <c r="B103" s="436" t="s">
        <v>1321</v>
      </c>
      <c r="C103" s="393" t="s">
        <v>1065</v>
      </c>
      <c r="D103" s="509"/>
      <c r="E103" s="394">
        <f>E104</f>
        <v>8028.8</v>
      </c>
      <c r="F103" s="394">
        <f t="shared" ref="F103:G103" si="34">F104</f>
        <v>9296.4000000000015</v>
      </c>
      <c r="G103" s="394">
        <f t="shared" si="34"/>
        <v>8949.2999999999993</v>
      </c>
    </row>
    <row r="104" spans="1:7" ht="63" x14ac:dyDescent="0.25">
      <c r="A104" s="392">
        <v>89</v>
      </c>
      <c r="B104" s="436" t="s">
        <v>1322</v>
      </c>
      <c r="C104" s="393" t="s">
        <v>1067</v>
      </c>
      <c r="D104" s="509"/>
      <c r="E104" s="394">
        <f>'[2]Приложение Доходы'!C108</f>
        <v>8028.8</v>
      </c>
      <c r="F104" s="394">
        <f>'[2]Приложение Доходы'!D108</f>
        <v>9296.4000000000015</v>
      </c>
      <c r="G104" s="394">
        <f>'[2]Приложение Доходы'!E108</f>
        <v>8949.2999999999993</v>
      </c>
    </row>
    <row r="105" spans="1:7" ht="47.25" x14ac:dyDescent="0.25">
      <c r="A105" s="392">
        <v>90</v>
      </c>
      <c r="B105" s="436" t="s">
        <v>1323</v>
      </c>
      <c r="C105" s="393" t="s">
        <v>1069</v>
      </c>
      <c r="D105" s="509"/>
      <c r="E105" s="394">
        <f>E106</f>
        <v>2300.8000000000002</v>
      </c>
      <c r="F105" s="394">
        <f t="shared" ref="F105:G105" si="35">F106</f>
        <v>9713.4</v>
      </c>
      <c r="G105" s="394">
        <f t="shared" si="35"/>
        <v>12991</v>
      </c>
    </row>
    <row r="106" spans="1:7" ht="47.25" x14ac:dyDescent="0.25">
      <c r="A106" s="392">
        <v>91</v>
      </c>
      <c r="B106" s="436" t="s">
        <v>1324</v>
      </c>
      <c r="C106" s="393" t="s">
        <v>1071</v>
      </c>
      <c r="D106" s="509"/>
      <c r="E106" s="394">
        <f>'[2]Приложение Доходы'!C113</f>
        <v>2300.8000000000002</v>
      </c>
      <c r="F106" s="394">
        <f>'[2]Приложение Доходы'!D113</f>
        <v>9713.4</v>
      </c>
      <c r="G106" s="394">
        <f>'[2]Приложение Доходы'!E113</f>
        <v>12991</v>
      </c>
    </row>
    <row r="107" spans="1:7" ht="15.75" x14ac:dyDescent="0.25">
      <c r="A107" s="392">
        <v>92</v>
      </c>
      <c r="B107" s="405" t="s">
        <v>1325</v>
      </c>
      <c r="C107" s="393" t="s">
        <v>1326</v>
      </c>
      <c r="D107" s="509"/>
      <c r="E107" s="394">
        <f>E108</f>
        <v>28102.299999999996</v>
      </c>
      <c r="F107" s="394">
        <f t="shared" ref="F107:G107" si="36">F108</f>
        <v>31296.699999999997</v>
      </c>
      <c r="G107" s="394">
        <f t="shared" si="36"/>
        <v>31150.799999999999</v>
      </c>
    </row>
    <row r="108" spans="1:7" ht="31.5" x14ac:dyDescent="0.25">
      <c r="A108" s="392">
        <v>93</v>
      </c>
      <c r="B108" s="406" t="s">
        <v>1327</v>
      </c>
      <c r="C108" s="407" t="s">
        <v>1075</v>
      </c>
      <c r="D108" s="509"/>
      <c r="E108" s="394">
        <f>'[2]Приложение Доходы'!C117</f>
        <v>28102.299999999996</v>
      </c>
      <c r="F108" s="394">
        <f>'[2]Приложение Доходы'!D117</f>
        <v>31296.699999999997</v>
      </c>
      <c r="G108" s="394">
        <f>'[2]Приложение Доходы'!E117</f>
        <v>31150.799999999999</v>
      </c>
    </row>
    <row r="109" spans="1:7" ht="47.25" x14ac:dyDescent="0.25">
      <c r="A109" s="392">
        <v>94</v>
      </c>
      <c r="B109" s="436" t="s">
        <v>1328</v>
      </c>
      <c r="C109" s="393" t="s">
        <v>1329</v>
      </c>
      <c r="D109" s="509"/>
      <c r="E109" s="394">
        <f>E110+E111+E112+E113+E114+E115</f>
        <v>290395.60000000003</v>
      </c>
      <c r="F109" s="394">
        <f t="shared" ref="F109:G109" si="37">F110+F111+F112+F113+F114+F115</f>
        <v>282838.7</v>
      </c>
      <c r="G109" s="394">
        <f t="shared" si="37"/>
        <v>278878.40000000002</v>
      </c>
    </row>
    <row r="110" spans="1:7" ht="63" x14ac:dyDescent="0.25">
      <c r="A110" s="392">
        <v>95</v>
      </c>
      <c r="B110" s="408" t="s">
        <v>1330</v>
      </c>
      <c r="C110" s="393" t="s">
        <v>1331</v>
      </c>
      <c r="D110" s="509"/>
      <c r="E110" s="394">
        <f>'[2]Приложение Доходы'!C139</f>
        <v>283848.10000000003</v>
      </c>
      <c r="F110" s="394">
        <f>'[2]Приложение Доходы'!D139</f>
        <v>277940.3</v>
      </c>
      <c r="G110" s="394">
        <f>'[2]Приложение Доходы'!E139</f>
        <v>271179.10000000003</v>
      </c>
    </row>
    <row r="111" spans="1:7" ht="94.5" x14ac:dyDescent="0.25">
      <c r="A111" s="392">
        <v>96</v>
      </c>
      <c r="B111" s="406" t="s">
        <v>1332</v>
      </c>
      <c r="C111" s="407" t="s">
        <v>1333</v>
      </c>
      <c r="D111" s="509"/>
      <c r="E111" s="394">
        <f>'[2]Приложение Доходы'!C153</f>
        <v>2760.9</v>
      </c>
      <c r="F111" s="394">
        <f>'[2]Приложение Доходы'!D153</f>
        <v>2760.9</v>
      </c>
      <c r="G111" s="394">
        <f>'[2]Приложение Доходы'!E153</f>
        <v>5521.8</v>
      </c>
    </row>
    <row r="112" spans="1:7" ht="63" x14ac:dyDescent="0.25">
      <c r="A112" s="392">
        <v>97</v>
      </c>
      <c r="B112" s="409" t="s">
        <v>1334</v>
      </c>
      <c r="C112" s="410" t="s">
        <v>1118</v>
      </c>
      <c r="D112" s="509"/>
      <c r="E112" s="394">
        <f>'[2]Приложение Доходы'!C156</f>
        <v>868.4</v>
      </c>
      <c r="F112" s="394">
        <f>'[2]Приложение Доходы'!D156</f>
        <v>897.5</v>
      </c>
      <c r="G112" s="394">
        <f>'[2]Приложение Доходы'!E156</f>
        <v>897.5</v>
      </c>
    </row>
    <row r="113" spans="1:7" ht="94.5" x14ac:dyDescent="0.25">
      <c r="A113" s="392">
        <v>98</v>
      </c>
      <c r="B113" s="411" t="s">
        <v>1335</v>
      </c>
      <c r="C113" s="412" t="s">
        <v>1336</v>
      </c>
      <c r="D113" s="509"/>
      <c r="E113" s="394">
        <f>'[2]Приложение Доходы'!C157</f>
        <v>2.6</v>
      </c>
      <c r="F113" s="394">
        <f>'[2]Приложение Доходы'!D157</f>
        <v>2.6</v>
      </c>
      <c r="G113" s="394">
        <f>'[2]Приложение Доходы'!E157</f>
        <v>2.6</v>
      </c>
    </row>
    <row r="114" spans="1:7" ht="47.25" x14ac:dyDescent="0.25">
      <c r="A114" s="392">
        <v>99</v>
      </c>
      <c r="B114" s="406" t="s">
        <v>1337</v>
      </c>
      <c r="C114" s="407" t="s">
        <v>1124</v>
      </c>
      <c r="D114" s="509"/>
      <c r="E114" s="394">
        <f>'[2]Приложение Доходы'!C158</f>
        <v>1085.5</v>
      </c>
      <c r="F114" s="394">
        <f>'[2]Приложение Доходы'!D158</f>
        <v>1134.4000000000001</v>
      </c>
      <c r="G114" s="394">
        <f>'[2]Приложение Доходы'!E158</f>
        <v>1134.4000000000001</v>
      </c>
    </row>
    <row r="115" spans="1:7" ht="31.5" x14ac:dyDescent="0.25">
      <c r="A115" s="392">
        <v>100</v>
      </c>
      <c r="B115" s="413" t="s">
        <v>1338</v>
      </c>
      <c r="C115" s="414" t="s">
        <v>1126</v>
      </c>
      <c r="D115" s="509"/>
      <c r="E115" s="394">
        <f>'[2]Приложение Доходы'!C159</f>
        <v>1830.1</v>
      </c>
      <c r="F115" s="394">
        <f>'[2]Приложение Доходы'!D159</f>
        <v>103</v>
      </c>
      <c r="G115" s="394">
        <f>'[2]Приложение Доходы'!E159</f>
        <v>143</v>
      </c>
    </row>
    <row r="116" spans="1:7" ht="15.75" x14ac:dyDescent="0.25">
      <c r="A116" s="392">
        <v>101</v>
      </c>
      <c r="B116" s="436" t="s">
        <v>1339</v>
      </c>
      <c r="C116" s="393" t="s">
        <v>1340</v>
      </c>
      <c r="D116" s="509"/>
      <c r="E116" s="394">
        <f>E118+E117</f>
        <v>24285.9</v>
      </c>
      <c r="F116" s="394">
        <f t="shared" ref="F116:G116" si="38">F118+F117</f>
        <v>26264.6</v>
      </c>
      <c r="G116" s="394">
        <f t="shared" si="38"/>
        <v>23849.5</v>
      </c>
    </row>
    <row r="117" spans="1:7" ht="126" x14ac:dyDescent="0.25">
      <c r="A117" s="392">
        <v>102</v>
      </c>
      <c r="B117" s="436" t="s">
        <v>1341</v>
      </c>
      <c r="C117" s="393" t="s">
        <v>1132</v>
      </c>
      <c r="D117" s="509"/>
      <c r="E117" s="394">
        <f>'[2]Приложение Доходы'!C164</f>
        <v>12128.1</v>
      </c>
      <c r="F117" s="394">
        <f>'[2]Приложение Доходы'!D164</f>
        <v>12128.1</v>
      </c>
      <c r="G117" s="394">
        <f>'[2]Приложение Доходы'!E164</f>
        <v>12128.1</v>
      </c>
    </row>
    <row r="118" spans="1:7" ht="47.25" x14ac:dyDescent="0.25">
      <c r="A118" s="392">
        <v>103</v>
      </c>
      <c r="B118" s="406" t="s">
        <v>1342</v>
      </c>
      <c r="C118" s="407" t="s">
        <v>1134</v>
      </c>
      <c r="D118" s="509"/>
      <c r="E118" s="394">
        <f>'[2]Приложение Доходы'!C165</f>
        <v>12157.8</v>
      </c>
      <c r="F118" s="394">
        <f>'[2]Приложение Доходы'!D165</f>
        <v>14136.5</v>
      </c>
      <c r="G118" s="394">
        <f>'[2]Приложение Доходы'!E165</f>
        <v>11721.4</v>
      </c>
    </row>
    <row r="119" spans="1:7" ht="15.75" x14ac:dyDescent="0.25">
      <c r="A119" s="415"/>
      <c r="B119" s="416"/>
      <c r="C119" s="417" t="s">
        <v>1150</v>
      </c>
      <c r="D119" s="418"/>
      <c r="E119" s="419">
        <f>SUM(E95+E11)</f>
        <v>848709.70000000007</v>
      </c>
      <c r="F119" s="419">
        <f>SUM(F95+F11)</f>
        <v>807110.2</v>
      </c>
      <c r="G119" s="419">
        <f>SUM(G95+G11)</f>
        <v>868328.39999999991</v>
      </c>
    </row>
  </sheetData>
  <mergeCells count="20">
    <mergeCell ref="D63:D68"/>
    <mergeCell ref="D70:D76"/>
    <mergeCell ref="D78:D82"/>
    <mergeCell ref="D83:D94"/>
    <mergeCell ref="D97:D118"/>
    <mergeCell ref="D43:D46"/>
    <mergeCell ref="D48:D54"/>
    <mergeCell ref="D58:D61"/>
    <mergeCell ref="A6:G6"/>
    <mergeCell ref="A7:G7"/>
    <mergeCell ref="A9:A10"/>
    <mergeCell ref="B9:B10"/>
    <mergeCell ref="C9:C10"/>
    <mergeCell ref="D9:D10"/>
    <mergeCell ref="E9:G9"/>
    <mergeCell ref="D13:D17"/>
    <mergeCell ref="D19:D22"/>
    <mergeCell ref="D24:D30"/>
    <mergeCell ref="D32:D39"/>
    <mergeCell ref="D41:D42"/>
  </mergeCells>
  <pageMargins left="1.1023622047244095" right="0.31496062992125984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0"/>
  <sheetViews>
    <sheetView view="pageBreakPreview" topLeftCell="A526" zoomScaleSheetLayoutView="100" workbookViewId="0">
      <selection activeCell="K600" sqref="K600"/>
    </sheetView>
  </sheetViews>
  <sheetFormatPr defaultColWidth="9.140625" defaultRowHeight="15" x14ac:dyDescent="0.25"/>
  <cols>
    <col min="1" max="1" width="14.42578125" style="40" customWidth="1"/>
    <col min="2" max="2" width="7.5703125" style="40" customWidth="1"/>
    <col min="3" max="3" width="68.42578125" style="40" customWidth="1"/>
    <col min="4" max="4" width="9" style="40" hidden="1" customWidth="1"/>
    <col min="5" max="5" width="0.140625" style="40" customWidth="1"/>
    <col min="6" max="6" width="12.28515625" style="40" hidden="1" customWidth="1"/>
    <col min="7" max="7" width="12.28515625" style="40" customWidth="1"/>
    <col min="8" max="8" width="11.140625" style="40" customWidth="1"/>
    <col min="9" max="9" width="14.28515625" style="40" customWidth="1"/>
    <col min="10" max="10" width="11.140625" style="40" customWidth="1"/>
    <col min="11" max="11" width="9.28515625" style="40" bestFit="1" customWidth="1"/>
    <col min="12" max="13" width="9.140625" style="40"/>
    <col min="14" max="15" width="9.28515625" style="40" bestFit="1" customWidth="1"/>
    <col min="16" max="16384" width="9.140625" style="40"/>
  </cols>
  <sheetData>
    <row r="1" spans="1:17" ht="15.75" x14ac:dyDescent="0.25">
      <c r="A1" s="38"/>
      <c r="B1" s="38"/>
      <c r="C1" s="38"/>
      <c r="D1" s="39"/>
      <c r="E1" s="39"/>
      <c r="F1" s="39"/>
      <c r="G1" s="518" t="s">
        <v>765</v>
      </c>
      <c r="H1" s="518"/>
      <c r="I1" s="518"/>
      <c r="J1" s="158"/>
      <c r="K1" s="158"/>
      <c r="L1" s="158"/>
      <c r="M1" s="158"/>
      <c r="N1" s="158"/>
      <c r="O1" s="158"/>
      <c r="P1" s="158"/>
      <c r="Q1" s="159"/>
    </row>
    <row r="2" spans="1:17" ht="15.6" customHeight="1" x14ac:dyDescent="0.25">
      <c r="A2" s="38"/>
      <c r="B2" s="38"/>
      <c r="C2" s="38"/>
      <c r="D2" s="39"/>
      <c r="E2" s="39"/>
      <c r="F2" s="39"/>
      <c r="G2" s="519" t="s">
        <v>767</v>
      </c>
      <c r="H2" s="519"/>
      <c r="I2" s="519"/>
      <c r="J2" s="158"/>
      <c r="K2" s="158"/>
      <c r="L2" s="158"/>
      <c r="M2" s="158"/>
      <c r="N2" s="158"/>
      <c r="O2" s="158"/>
      <c r="P2" s="158"/>
      <c r="Q2" s="158"/>
    </row>
    <row r="3" spans="1:17" ht="15.75" x14ac:dyDescent="0.25">
      <c r="A3" s="41"/>
      <c r="B3" s="41"/>
      <c r="C3" s="160" t="s">
        <v>851</v>
      </c>
      <c r="D3" s="160"/>
      <c r="E3" s="160"/>
      <c r="F3" s="160"/>
      <c r="G3" s="520" t="s">
        <v>1404</v>
      </c>
      <c r="H3" s="520"/>
      <c r="I3" s="520"/>
      <c r="J3" s="160"/>
      <c r="K3" s="160"/>
      <c r="L3" s="160"/>
      <c r="M3" s="160"/>
      <c r="N3" s="160"/>
      <c r="O3" s="160"/>
      <c r="P3" s="160"/>
      <c r="Q3" s="160"/>
    </row>
    <row r="4" spans="1:17" ht="15.75" x14ac:dyDescent="0.25">
      <c r="A4" s="41"/>
      <c r="B4" s="41"/>
      <c r="C4" s="160"/>
      <c r="D4" s="160"/>
      <c r="E4" s="160"/>
      <c r="F4" s="160"/>
      <c r="G4" s="520" t="s">
        <v>1405</v>
      </c>
      <c r="H4" s="520"/>
      <c r="I4" s="520"/>
      <c r="J4" s="160"/>
      <c r="K4" s="160"/>
      <c r="L4" s="160"/>
      <c r="M4" s="160"/>
      <c r="N4" s="160"/>
      <c r="O4" s="160"/>
      <c r="P4" s="160"/>
      <c r="Q4" s="160"/>
    </row>
    <row r="5" spans="1:17" ht="15" customHeight="1" x14ac:dyDescent="0.25">
      <c r="A5" s="38"/>
      <c r="B5" s="38"/>
      <c r="C5" s="38"/>
      <c r="D5" s="472"/>
      <c r="E5" s="472"/>
      <c r="F5" s="437"/>
      <c r="G5" s="521" t="s">
        <v>1406</v>
      </c>
      <c r="H5" s="521"/>
      <c r="I5" s="521"/>
    </row>
    <row r="6" spans="1:17" x14ac:dyDescent="0.25">
      <c r="A6" s="38"/>
      <c r="B6" s="38"/>
      <c r="C6" s="38"/>
      <c r="D6" s="109"/>
      <c r="E6" s="109"/>
      <c r="F6" s="437"/>
      <c r="G6" s="437"/>
      <c r="H6" s="109"/>
      <c r="I6" s="109"/>
    </row>
    <row r="7" spans="1:17" ht="30" customHeight="1" x14ac:dyDescent="0.25">
      <c r="A7" s="473" t="s">
        <v>764</v>
      </c>
      <c r="B7" s="473"/>
      <c r="C7" s="473"/>
      <c r="D7" s="473"/>
      <c r="E7" s="473"/>
      <c r="F7" s="473"/>
      <c r="G7" s="473"/>
      <c r="H7" s="473"/>
      <c r="I7" s="473"/>
    </row>
    <row r="8" spans="1:17" ht="24.75" x14ac:dyDescent="0.25">
      <c r="A8" s="42" t="s">
        <v>0</v>
      </c>
      <c r="B8" s="42" t="s">
        <v>1</v>
      </c>
      <c r="C8" s="42" t="s">
        <v>2</v>
      </c>
      <c r="D8" s="42" t="s">
        <v>3</v>
      </c>
      <c r="E8" s="42" t="s">
        <v>3</v>
      </c>
      <c r="F8" s="42"/>
      <c r="G8" s="42" t="s">
        <v>3</v>
      </c>
      <c r="H8" s="42" t="s">
        <v>4</v>
      </c>
      <c r="I8" s="42" t="s">
        <v>5</v>
      </c>
    </row>
    <row r="9" spans="1:17" ht="24.75" x14ac:dyDescent="0.25">
      <c r="A9" s="43" t="s">
        <v>6</v>
      </c>
      <c r="B9" s="43"/>
      <c r="C9" s="44" t="s">
        <v>7</v>
      </c>
      <c r="D9" s="45" t="e">
        <f>D10+D68+D192+D209+D232+D246+D306+D330+D350+D368+D477+#REF!+D520+D544+D552+#REF!+D505</f>
        <v>#REF!</v>
      </c>
      <c r="E9" s="45">
        <f>E10+E68+E192+E209+E232+E246+E306+E330+E350+E368+E477+E520+E544+E552+E505</f>
        <v>793425.5</v>
      </c>
      <c r="F9" s="449">
        <f>F10+F68+F192+F209+F232+F246+F306+F330+F350+F368+F477+F520+F544+F552+F505</f>
        <v>19740.026500000004</v>
      </c>
      <c r="G9" s="45">
        <f>G10+G68+G192+G209+G232+G246+G306+G330+G350+G368+G477+G520+G544+G552+G505</f>
        <v>813165.52650000015</v>
      </c>
      <c r="H9" s="45">
        <f>H10+H68+H192+H209+H232+H246+H306+H330+H350+H368+H477+H520+H544+H552+H505</f>
        <v>744427.05300000019</v>
      </c>
      <c r="I9" s="45">
        <f>I10+I68+I192+I209+I232+I246+I306+I330+I350+I368+I477+I520+I544+I552+I505</f>
        <v>794963.51600000018</v>
      </c>
    </row>
    <row r="10" spans="1:17" ht="26.25" x14ac:dyDescent="0.25">
      <c r="A10" s="46" t="s">
        <v>8</v>
      </c>
      <c r="B10" s="46"/>
      <c r="C10" s="47" t="s">
        <v>9</v>
      </c>
      <c r="D10" s="48" t="e">
        <f t="shared" ref="D10:I10" si="0">D11+D25+D34+D60</f>
        <v>#REF!</v>
      </c>
      <c r="E10" s="48">
        <f t="shared" si="0"/>
        <v>74184.400000000009</v>
      </c>
      <c r="F10" s="48">
        <f t="shared" si="0"/>
        <v>181.60000000000002</v>
      </c>
      <c r="G10" s="48">
        <f t="shared" si="0"/>
        <v>74366</v>
      </c>
      <c r="H10" s="48">
        <f t="shared" si="0"/>
        <v>74545.100000000006</v>
      </c>
      <c r="I10" s="48">
        <f t="shared" si="0"/>
        <v>74631</v>
      </c>
    </row>
    <row r="11" spans="1:17" ht="26.25" x14ac:dyDescent="0.25">
      <c r="A11" s="49" t="s">
        <v>10</v>
      </c>
      <c r="B11" s="49"/>
      <c r="C11" s="50" t="s">
        <v>11</v>
      </c>
      <c r="D11" s="51" t="e">
        <f>D12+D15+D20</f>
        <v>#REF!</v>
      </c>
      <c r="E11" s="51">
        <f>E12+E15+E20</f>
        <v>1053.0999999999999</v>
      </c>
      <c r="F11" s="51"/>
      <c r="G11" s="51">
        <f>G12+G15+G20</f>
        <v>1053.0999999999999</v>
      </c>
      <c r="H11" s="51">
        <f>H12+H15+H20</f>
        <v>1055.8</v>
      </c>
      <c r="I11" s="51">
        <f>I12+I15+I20</f>
        <v>1098</v>
      </c>
    </row>
    <row r="12" spans="1:17" ht="39" x14ac:dyDescent="0.25">
      <c r="A12" s="52" t="s">
        <v>12</v>
      </c>
      <c r="B12" s="52"/>
      <c r="C12" s="53" t="s">
        <v>13</v>
      </c>
      <c r="D12" s="25" t="e">
        <f>#REF!</f>
        <v>#REF!</v>
      </c>
      <c r="E12" s="25">
        <f>E13</f>
        <v>134</v>
      </c>
      <c r="F12" s="25"/>
      <c r="G12" s="25">
        <f>G13</f>
        <v>134</v>
      </c>
      <c r="H12" s="25">
        <f t="shared" ref="H12:I12" si="1">H13</f>
        <v>139.4</v>
      </c>
      <c r="I12" s="25">
        <f t="shared" si="1"/>
        <v>144.9</v>
      </c>
    </row>
    <row r="13" spans="1:17" x14ac:dyDescent="0.25">
      <c r="A13" s="11" t="s">
        <v>588</v>
      </c>
      <c r="B13" s="20"/>
      <c r="C13" s="5" t="s">
        <v>14</v>
      </c>
      <c r="D13" s="22" t="e">
        <f>#REF!</f>
        <v>#REF!</v>
      </c>
      <c r="E13" s="22">
        <v>134</v>
      </c>
      <c r="F13" s="22"/>
      <c r="G13" s="22">
        <v>134</v>
      </c>
      <c r="H13" s="22">
        <v>139.4</v>
      </c>
      <c r="I13" s="22">
        <v>144.9</v>
      </c>
    </row>
    <row r="14" spans="1:17" ht="26.25" x14ac:dyDescent="0.25">
      <c r="A14" s="11"/>
      <c r="B14" s="11" t="s">
        <v>344</v>
      </c>
      <c r="C14" s="2" t="s">
        <v>345</v>
      </c>
      <c r="D14" s="22"/>
      <c r="E14" s="22">
        <v>134</v>
      </c>
      <c r="F14" s="22"/>
      <c r="G14" s="22">
        <v>134</v>
      </c>
      <c r="H14" s="22">
        <v>139.4</v>
      </c>
      <c r="I14" s="22">
        <v>144.9</v>
      </c>
    </row>
    <row r="15" spans="1:17" ht="26.25" x14ac:dyDescent="0.25">
      <c r="A15" s="52" t="s">
        <v>15</v>
      </c>
      <c r="B15" s="52"/>
      <c r="C15" s="53" t="s">
        <v>16</v>
      </c>
      <c r="D15" s="25" t="e">
        <f t="shared" ref="D15:I15" si="2">D16+D18</f>
        <v>#REF!</v>
      </c>
      <c r="E15" s="25">
        <f t="shared" si="2"/>
        <v>799.29999999999984</v>
      </c>
      <c r="F15" s="25"/>
      <c r="G15" s="25">
        <f t="shared" ref="G15" si="3">G16+G18</f>
        <v>799.29999999999984</v>
      </c>
      <c r="H15" s="25">
        <f t="shared" si="2"/>
        <v>791.8</v>
      </c>
      <c r="I15" s="25">
        <f t="shared" si="2"/>
        <v>823.5</v>
      </c>
    </row>
    <row r="16" spans="1:17" ht="51.75" x14ac:dyDescent="0.25">
      <c r="A16" s="11" t="s">
        <v>17</v>
      </c>
      <c r="B16" s="20"/>
      <c r="C16" s="5" t="s">
        <v>18</v>
      </c>
      <c r="D16" s="22" t="e">
        <f>#REF!</f>
        <v>#REF!</v>
      </c>
      <c r="E16" s="22">
        <f>1882.3-1327.4</f>
        <v>554.89999999999986</v>
      </c>
      <c r="F16" s="22"/>
      <c r="G16" s="22">
        <f>1882.3-1327.4</f>
        <v>554.89999999999986</v>
      </c>
      <c r="H16" s="22">
        <v>537.6</v>
      </c>
      <c r="I16" s="22">
        <v>559.1</v>
      </c>
    </row>
    <row r="17" spans="1:9" ht="26.25" x14ac:dyDescent="0.25">
      <c r="A17" s="11"/>
      <c r="B17" s="11" t="s">
        <v>344</v>
      </c>
      <c r="C17" s="2" t="s">
        <v>345</v>
      </c>
      <c r="D17" s="22"/>
      <c r="E17" s="22">
        <f>1882.3-1327.4</f>
        <v>554.89999999999986</v>
      </c>
      <c r="F17" s="22"/>
      <c r="G17" s="22">
        <f>1882.3-1327.4</f>
        <v>554.89999999999986</v>
      </c>
      <c r="H17" s="22">
        <v>537.6</v>
      </c>
      <c r="I17" s="22">
        <v>559.1</v>
      </c>
    </row>
    <row r="18" spans="1:9" x14ac:dyDescent="0.25">
      <c r="A18" s="11" t="s">
        <v>589</v>
      </c>
      <c r="B18" s="20"/>
      <c r="C18" s="5" t="s">
        <v>19</v>
      </c>
      <c r="D18" s="22" t="e">
        <f>#REF!</f>
        <v>#REF!</v>
      </c>
      <c r="E18" s="22">
        <v>244.4</v>
      </c>
      <c r="F18" s="22"/>
      <c r="G18" s="22">
        <v>244.4</v>
      </c>
      <c r="H18" s="22">
        <v>254.2</v>
      </c>
      <c r="I18" s="22">
        <v>264.39999999999998</v>
      </c>
    </row>
    <row r="19" spans="1:9" ht="26.25" x14ac:dyDescent="0.25">
      <c r="A19" s="11"/>
      <c r="B19" s="11" t="s">
        <v>344</v>
      </c>
      <c r="C19" s="2" t="s">
        <v>345</v>
      </c>
      <c r="D19" s="22"/>
      <c r="E19" s="22">
        <v>244.4</v>
      </c>
      <c r="F19" s="22"/>
      <c r="G19" s="22">
        <v>244.4</v>
      </c>
      <c r="H19" s="22">
        <v>254.2</v>
      </c>
      <c r="I19" s="22">
        <v>264.39999999999998</v>
      </c>
    </row>
    <row r="20" spans="1:9" ht="39" x14ac:dyDescent="0.25">
      <c r="A20" s="52" t="s">
        <v>20</v>
      </c>
      <c r="B20" s="52"/>
      <c r="C20" s="53" t="s">
        <v>21</v>
      </c>
      <c r="D20" s="54" t="e">
        <f t="shared" ref="D20:I20" si="4">D21+D23</f>
        <v>#REF!</v>
      </c>
      <c r="E20" s="54">
        <f t="shared" si="4"/>
        <v>119.8</v>
      </c>
      <c r="F20" s="54"/>
      <c r="G20" s="54">
        <f t="shared" ref="G20" si="5">G21+G23</f>
        <v>119.8</v>
      </c>
      <c r="H20" s="54">
        <f t="shared" si="4"/>
        <v>124.60000000000001</v>
      </c>
      <c r="I20" s="54">
        <f t="shared" si="4"/>
        <v>129.60000000000002</v>
      </c>
    </row>
    <row r="21" spans="1:9" ht="26.25" x14ac:dyDescent="0.25">
      <c r="A21" s="11" t="s">
        <v>22</v>
      </c>
      <c r="B21" s="11"/>
      <c r="C21" s="5" t="s">
        <v>590</v>
      </c>
      <c r="D21" s="22" t="e">
        <f>#REF!</f>
        <v>#REF!</v>
      </c>
      <c r="E21" s="22">
        <v>35.799999999999997</v>
      </c>
      <c r="F21" s="22"/>
      <c r="G21" s="22">
        <v>35.799999999999997</v>
      </c>
      <c r="H21" s="22">
        <v>37.200000000000003</v>
      </c>
      <c r="I21" s="22">
        <v>38.700000000000003</v>
      </c>
    </row>
    <row r="22" spans="1:9" ht="26.25" x14ac:dyDescent="0.25">
      <c r="A22" s="11"/>
      <c r="B22" s="11" t="s">
        <v>344</v>
      </c>
      <c r="C22" s="2" t="s">
        <v>345</v>
      </c>
      <c r="D22" s="22"/>
      <c r="E22" s="22">
        <v>35.799999999999997</v>
      </c>
      <c r="F22" s="22"/>
      <c r="G22" s="22">
        <v>35.799999999999997</v>
      </c>
      <c r="H22" s="22">
        <v>37.200000000000003</v>
      </c>
      <c r="I22" s="22">
        <v>38.700000000000003</v>
      </c>
    </row>
    <row r="23" spans="1:9" ht="51.75" x14ac:dyDescent="0.25">
      <c r="A23" s="11" t="s">
        <v>23</v>
      </c>
      <c r="B23" s="11"/>
      <c r="C23" s="14" t="s">
        <v>24</v>
      </c>
      <c r="D23" s="22" t="e">
        <f>#REF!</f>
        <v>#REF!</v>
      </c>
      <c r="E23" s="22">
        <v>84</v>
      </c>
      <c r="F23" s="22"/>
      <c r="G23" s="22">
        <v>84</v>
      </c>
      <c r="H23" s="22">
        <v>87.4</v>
      </c>
      <c r="I23" s="22">
        <v>90.9</v>
      </c>
    </row>
    <row r="24" spans="1:9" ht="26.25" x14ac:dyDescent="0.25">
      <c r="A24" s="11"/>
      <c r="B24" s="11" t="s">
        <v>344</v>
      </c>
      <c r="C24" s="2" t="s">
        <v>345</v>
      </c>
      <c r="D24" s="22"/>
      <c r="E24" s="22">
        <v>84</v>
      </c>
      <c r="F24" s="22"/>
      <c r="G24" s="22">
        <v>84</v>
      </c>
      <c r="H24" s="22">
        <v>87.4</v>
      </c>
      <c r="I24" s="22">
        <v>90.9</v>
      </c>
    </row>
    <row r="25" spans="1:9" ht="39" x14ac:dyDescent="0.25">
      <c r="A25" s="49" t="s">
        <v>25</v>
      </c>
      <c r="B25" s="49"/>
      <c r="C25" s="55" t="s">
        <v>26</v>
      </c>
      <c r="D25" s="51" t="e">
        <f>D26</f>
        <v>#REF!</v>
      </c>
      <c r="E25" s="51">
        <f>E26</f>
        <v>69126</v>
      </c>
      <c r="F25" s="51"/>
      <c r="G25" s="51">
        <f>G26</f>
        <v>69126</v>
      </c>
      <c r="H25" s="51">
        <f>H26</f>
        <v>69126</v>
      </c>
      <c r="I25" s="51">
        <f>I26</f>
        <v>69126</v>
      </c>
    </row>
    <row r="26" spans="1:9" ht="39" x14ac:dyDescent="0.25">
      <c r="A26" s="52" t="s">
        <v>27</v>
      </c>
      <c r="B26" s="52"/>
      <c r="C26" s="53" t="s">
        <v>28</v>
      </c>
      <c r="D26" s="25" t="e">
        <f>D27+D29+#REF!+D32+#REF!</f>
        <v>#REF!</v>
      </c>
      <c r="E26" s="25">
        <f>E27+E29+E32</f>
        <v>69126</v>
      </c>
      <c r="F26" s="25"/>
      <c r="G26" s="25">
        <f>G27+G29+G32</f>
        <v>69126</v>
      </c>
      <c r="H26" s="25">
        <f t="shared" ref="H26:I26" si="6">H27+H29+H32</f>
        <v>69126</v>
      </c>
      <c r="I26" s="25">
        <f t="shared" si="6"/>
        <v>69126</v>
      </c>
    </row>
    <row r="27" spans="1:9" ht="26.25" x14ac:dyDescent="0.25">
      <c r="A27" s="11" t="s">
        <v>29</v>
      </c>
      <c r="B27" s="11"/>
      <c r="C27" s="5" t="s">
        <v>30</v>
      </c>
      <c r="D27" s="22" t="e">
        <f>#REF!</f>
        <v>#REF!</v>
      </c>
      <c r="E27" s="22">
        <v>2036.9</v>
      </c>
      <c r="F27" s="22"/>
      <c r="G27" s="22">
        <v>2036.9</v>
      </c>
      <c r="H27" s="22">
        <v>2036.9</v>
      </c>
      <c r="I27" s="22">
        <v>2036.9</v>
      </c>
    </row>
    <row r="28" spans="1:9" ht="51.75" x14ac:dyDescent="0.25">
      <c r="A28" s="11"/>
      <c r="B28" s="1" t="s">
        <v>535</v>
      </c>
      <c r="C28" s="2" t="s">
        <v>536</v>
      </c>
      <c r="D28" s="22"/>
      <c r="E28" s="22">
        <v>2036.9</v>
      </c>
      <c r="F28" s="22"/>
      <c r="G28" s="22">
        <v>2036.9</v>
      </c>
      <c r="H28" s="22">
        <v>2036.9</v>
      </c>
      <c r="I28" s="22">
        <v>2036.9</v>
      </c>
    </row>
    <row r="29" spans="1:9" ht="25.5" x14ac:dyDescent="0.25">
      <c r="A29" s="11" t="s">
        <v>31</v>
      </c>
      <c r="B29" s="11"/>
      <c r="C29" s="3" t="s">
        <v>32</v>
      </c>
      <c r="D29" s="22" t="e">
        <f>#REF!+#REF!</f>
        <v>#REF!</v>
      </c>
      <c r="E29" s="22">
        <f>E30+E31</f>
        <v>59555.8</v>
      </c>
      <c r="F29" s="22"/>
      <c r="G29" s="22">
        <f>G30+G31</f>
        <v>59555.8</v>
      </c>
      <c r="H29" s="22">
        <f t="shared" ref="H29:I29" si="7">H30+H31</f>
        <v>59555.8</v>
      </c>
      <c r="I29" s="22">
        <f t="shared" si="7"/>
        <v>59555.8</v>
      </c>
    </row>
    <row r="30" spans="1:9" ht="51.75" x14ac:dyDescent="0.25">
      <c r="A30" s="11"/>
      <c r="B30" s="11" t="s">
        <v>535</v>
      </c>
      <c r="C30" s="2" t="s">
        <v>536</v>
      </c>
      <c r="D30" s="22"/>
      <c r="E30" s="22">
        <f>39479.5+3546+5804+7420.3</f>
        <v>56249.8</v>
      </c>
      <c r="F30" s="22"/>
      <c r="G30" s="22">
        <f>39479.5+3546+5804+7420.3</f>
        <v>56249.8</v>
      </c>
      <c r="H30" s="22">
        <v>56249.8</v>
      </c>
      <c r="I30" s="22">
        <v>56249.8</v>
      </c>
    </row>
    <row r="31" spans="1:9" ht="26.25" x14ac:dyDescent="0.25">
      <c r="A31" s="11"/>
      <c r="B31" s="11" t="s">
        <v>344</v>
      </c>
      <c r="C31" s="2" t="s">
        <v>345</v>
      </c>
      <c r="D31" s="22"/>
      <c r="E31" s="22">
        <f>2393.3+138.4+215+559.3</f>
        <v>3306</v>
      </c>
      <c r="F31" s="22"/>
      <c r="G31" s="22">
        <f>2393.3+138.4+215+559.3</f>
        <v>3306</v>
      </c>
      <c r="H31" s="22">
        <f t="shared" ref="H31:I31" si="8">2393.3+138.4+215+559.3</f>
        <v>3306</v>
      </c>
      <c r="I31" s="22">
        <f t="shared" si="8"/>
        <v>3306</v>
      </c>
    </row>
    <row r="32" spans="1:9" ht="26.25" x14ac:dyDescent="0.25">
      <c r="A32" s="11" t="s">
        <v>33</v>
      </c>
      <c r="B32" s="11"/>
      <c r="C32" s="14" t="s">
        <v>34</v>
      </c>
      <c r="D32" s="22" t="e">
        <f>#REF!</f>
        <v>#REF!</v>
      </c>
      <c r="E32" s="22">
        <v>7533.3</v>
      </c>
      <c r="F32" s="22"/>
      <c r="G32" s="22">
        <v>7533.3</v>
      </c>
      <c r="H32" s="22">
        <v>7533.3</v>
      </c>
      <c r="I32" s="22">
        <v>7533.3</v>
      </c>
    </row>
    <row r="33" spans="1:9" x14ac:dyDescent="0.25">
      <c r="A33" s="11"/>
      <c r="B33" s="1" t="s">
        <v>564</v>
      </c>
      <c r="C33" s="2" t="s">
        <v>565</v>
      </c>
      <c r="D33" s="22"/>
      <c r="E33" s="22">
        <v>7533.3</v>
      </c>
      <c r="F33" s="22"/>
      <c r="G33" s="22">
        <v>7533.3</v>
      </c>
      <c r="H33" s="22">
        <v>7533.3</v>
      </c>
      <c r="I33" s="22">
        <v>7533.3</v>
      </c>
    </row>
    <row r="34" spans="1:9" ht="39" x14ac:dyDescent="0.25">
      <c r="A34" s="49" t="s">
        <v>35</v>
      </c>
      <c r="B34" s="49"/>
      <c r="C34" s="50" t="s">
        <v>36</v>
      </c>
      <c r="D34" s="51" t="e">
        <f t="shared" ref="D34:I34" si="9">D35</f>
        <v>#REF!</v>
      </c>
      <c r="E34" s="51">
        <f t="shared" si="9"/>
        <v>3867.8</v>
      </c>
      <c r="F34" s="51">
        <f t="shared" si="9"/>
        <v>181.60000000000002</v>
      </c>
      <c r="G34" s="51">
        <f t="shared" si="9"/>
        <v>4049.4000000000005</v>
      </c>
      <c r="H34" s="51">
        <f t="shared" si="9"/>
        <v>4220.3</v>
      </c>
      <c r="I34" s="51">
        <f t="shared" si="9"/>
        <v>4258.2</v>
      </c>
    </row>
    <row r="35" spans="1:9" ht="26.25" x14ac:dyDescent="0.25">
      <c r="A35" s="52" t="s">
        <v>37</v>
      </c>
      <c r="B35" s="56"/>
      <c r="C35" s="53" t="s">
        <v>38</v>
      </c>
      <c r="D35" s="25" t="e">
        <f t="shared" ref="D35:I35" si="10">D36+D39+D42+D44+D47+D50+D52+D54+D57</f>
        <v>#REF!</v>
      </c>
      <c r="E35" s="25">
        <f t="shared" si="10"/>
        <v>3867.8</v>
      </c>
      <c r="F35" s="25">
        <f t="shared" ref="F35" si="11">F36+F39+F42+F44+F47+F50+F52+F54+F57</f>
        <v>181.60000000000002</v>
      </c>
      <c r="G35" s="25">
        <f t="shared" ref="G35" si="12">G36+G39+G42+G44+G47+G50+G52+G54+G57</f>
        <v>4049.4000000000005</v>
      </c>
      <c r="H35" s="25">
        <f t="shared" si="10"/>
        <v>4220.3</v>
      </c>
      <c r="I35" s="25">
        <f t="shared" si="10"/>
        <v>4258.2</v>
      </c>
    </row>
    <row r="36" spans="1:9" ht="26.25" x14ac:dyDescent="0.25">
      <c r="A36" s="11" t="s">
        <v>39</v>
      </c>
      <c r="B36" s="11"/>
      <c r="C36" s="14" t="s">
        <v>40</v>
      </c>
      <c r="D36" s="57" t="e">
        <f>SUM(#REF!)</f>
        <v>#REF!</v>
      </c>
      <c r="E36" s="57">
        <v>907</v>
      </c>
      <c r="F36" s="57"/>
      <c r="G36" s="57">
        <f>G37+G38</f>
        <v>907</v>
      </c>
      <c r="H36" s="57">
        <f t="shared" ref="H36:I36" si="13">H37+H38</f>
        <v>943.9</v>
      </c>
      <c r="I36" s="57">
        <f t="shared" si="13"/>
        <v>943.9</v>
      </c>
    </row>
    <row r="37" spans="1:9" ht="51.75" x14ac:dyDescent="0.25">
      <c r="A37" s="11"/>
      <c r="B37" s="11" t="s">
        <v>535</v>
      </c>
      <c r="C37" s="2" t="s">
        <v>536</v>
      </c>
      <c r="D37" s="57"/>
      <c r="E37" s="464">
        <v>823.6</v>
      </c>
      <c r="F37" s="464">
        <v>12.8</v>
      </c>
      <c r="G37" s="57">
        <v>836.4</v>
      </c>
      <c r="H37" s="57">
        <v>836.4</v>
      </c>
      <c r="I37" s="57">
        <v>836.4</v>
      </c>
    </row>
    <row r="38" spans="1:9" ht="26.25" x14ac:dyDescent="0.25">
      <c r="A38" s="11"/>
      <c r="B38" s="11" t="s">
        <v>344</v>
      </c>
      <c r="C38" s="2" t="s">
        <v>345</v>
      </c>
      <c r="D38" s="57"/>
      <c r="E38" s="464">
        <v>83.4</v>
      </c>
      <c r="F38" s="464">
        <v>-12.8</v>
      </c>
      <c r="G38" s="57">
        <v>70.599999999999994</v>
      </c>
      <c r="H38" s="57">
        <v>107.5</v>
      </c>
      <c r="I38" s="57">
        <v>107.5</v>
      </c>
    </row>
    <row r="39" spans="1:9" ht="26.25" x14ac:dyDescent="0.25">
      <c r="A39" s="11" t="s">
        <v>41</v>
      </c>
      <c r="B39" s="11"/>
      <c r="C39" s="14" t="s">
        <v>42</v>
      </c>
      <c r="D39" s="57" t="e">
        <f>SUM(#REF!)</f>
        <v>#REF!</v>
      </c>
      <c r="E39" s="57">
        <v>534.70000000000005</v>
      </c>
      <c r="F39" s="57"/>
      <c r="G39" s="57">
        <v>534.70000000000005</v>
      </c>
      <c r="H39" s="57">
        <v>556.20000000000005</v>
      </c>
      <c r="I39" s="57">
        <v>556.20000000000005</v>
      </c>
    </row>
    <row r="40" spans="1:9" ht="51.75" x14ac:dyDescent="0.25">
      <c r="A40" s="11"/>
      <c r="B40" s="11" t="s">
        <v>535</v>
      </c>
      <c r="C40" s="2" t="s">
        <v>536</v>
      </c>
      <c r="D40" s="57"/>
      <c r="E40" s="464">
        <v>470.8</v>
      </c>
      <c r="F40" s="464">
        <v>7.1</v>
      </c>
      <c r="G40" s="57">
        <v>477.9</v>
      </c>
      <c r="H40" s="57">
        <v>477.9</v>
      </c>
      <c r="I40" s="57">
        <v>477.9</v>
      </c>
    </row>
    <row r="41" spans="1:9" ht="26.25" x14ac:dyDescent="0.25">
      <c r="A41" s="11"/>
      <c r="B41" s="11" t="s">
        <v>344</v>
      </c>
      <c r="C41" s="2" t="s">
        <v>345</v>
      </c>
      <c r="D41" s="57"/>
      <c r="E41" s="464">
        <v>63.9</v>
      </c>
      <c r="F41" s="464">
        <v>-7.1</v>
      </c>
      <c r="G41" s="57">
        <v>56.8</v>
      </c>
      <c r="H41" s="57">
        <v>78.3</v>
      </c>
      <c r="I41" s="57">
        <v>78.3</v>
      </c>
    </row>
    <row r="42" spans="1:9" x14ac:dyDescent="0.25">
      <c r="A42" s="11" t="s">
        <v>43</v>
      </c>
      <c r="B42" s="11"/>
      <c r="C42" s="14" t="s">
        <v>44</v>
      </c>
      <c r="D42" s="57" t="e">
        <f>#REF!</f>
        <v>#REF!</v>
      </c>
      <c r="E42" s="57">
        <v>17.8</v>
      </c>
      <c r="F42" s="57"/>
      <c r="G42" s="57">
        <v>17.8</v>
      </c>
      <c r="H42" s="57">
        <v>17.8</v>
      </c>
      <c r="I42" s="57">
        <v>17.8</v>
      </c>
    </row>
    <row r="43" spans="1:9" ht="26.25" x14ac:dyDescent="0.25">
      <c r="A43" s="11"/>
      <c r="B43" s="11" t="s">
        <v>344</v>
      </c>
      <c r="C43" s="2" t="s">
        <v>345</v>
      </c>
      <c r="D43" s="57"/>
      <c r="E43" s="57">
        <v>17.8</v>
      </c>
      <c r="F43" s="57"/>
      <c r="G43" s="57">
        <v>17.8</v>
      </c>
      <c r="H43" s="57">
        <v>17.8</v>
      </c>
      <c r="I43" s="57">
        <v>17.8</v>
      </c>
    </row>
    <row r="44" spans="1:9" ht="26.25" x14ac:dyDescent="0.25">
      <c r="A44" s="11" t="s">
        <v>45</v>
      </c>
      <c r="B44" s="11"/>
      <c r="C44" s="5" t="s">
        <v>46</v>
      </c>
      <c r="D44" s="57" t="e">
        <f>SUM(#REF!)</f>
        <v>#REF!</v>
      </c>
      <c r="E44" s="464">
        <v>52.7</v>
      </c>
      <c r="F44" s="464"/>
      <c r="G44" s="57">
        <v>52.7</v>
      </c>
      <c r="H44" s="57">
        <v>55</v>
      </c>
      <c r="I44" s="57">
        <v>55</v>
      </c>
    </row>
    <row r="45" spans="1:9" ht="51.75" x14ac:dyDescent="0.25">
      <c r="A45" s="11"/>
      <c r="B45" s="11" t="s">
        <v>535</v>
      </c>
      <c r="C45" s="2" t="s">
        <v>536</v>
      </c>
      <c r="D45" s="57"/>
      <c r="E45" s="464">
        <v>47.1</v>
      </c>
      <c r="F45" s="464">
        <v>0.7</v>
      </c>
      <c r="G45" s="57">
        <v>47.8</v>
      </c>
      <c r="H45" s="57">
        <v>47.8</v>
      </c>
      <c r="I45" s="57">
        <v>47.8</v>
      </c>
    </row>
    <row r="46" spans="1:9" ht="26.25" x14ac:dyDescent="0.25">
      <c r="A46" s="11"/>
      <c r="B46" s="11" t="s">
        <v>344</v>
      </c>
      <c r="C46" s="2" t="s">
        <v>345</v>
      </c>
      <c r="D46" s="57"/>
      <c r="E46" s="464">
        <v>5.6</v>
      </c>
      <c r="F46" s="464">
        <v>-0.7</v>
      </c>
      <c r="G46" s="57">
        <v>4.9000000000000004</v>
      </c>
      <c r="H46" s="57">
        <v>7.2</v>
      </c>
      <c r="I46" s="57">
        <v>7.2</v>
      </c>
    </row>
    <row r="47" spans="1:9" ht="26.25" x14ac:dyDescent="0.25">
      <c r="A47" s="11" t="s">
        <v>47</v>
      </c>
      <c r="B47" s="11"/>
      <c r="C47" s="88" t="s">
        <v>1402</v>
      </c>
      <c r="D47" s="57" t="e">
        <f>#REF!+#REF!</f>
        <v>#REF!</v>
      </c>
      <c r="E47" s="464">
        <v>387.7</v>
      </c>
      <c r="F47" s="464"/>
      <c r="G47" s="57">
        <v>387.7</v>
      </c>
      <c r="H47" s="57">
        <v>404.4</v>
      </c>
      <c r="I47" s="57">
        <v>404.4</v>
      </c>
    </row>
    <row r="48" spans="1:9" ht="51.75" x14ac:dyDescent="0.25">
      <c r="A48" s="11"/>
      <c r="B48" s="11" t="s">
        <v>535</v>
      </c>
      <c r="C48" s="2" t="s">
        <v>536</v>
      </c>
      <c r="D48" s="57"/>
      <c r="E48" s="464">
        <v>360</v>
      </c>
      <c r="F48" s="464">
        <v>5.5</v>
      </c>
      <c r="G48" s="57">
        <v>365.5</v>
      </c>
      <c r="H48" s="57">
        <v>365.5</v>
      </c>
      <c r="I48" s="57">
        <v>365.5</v>
      </c>
    </row>
    <row r="49" spans="1:9" ht="26.25" x14ac:dyDescent="0.25">
      <c r="A49" s="11"/>
      <c r="B49" s="11" t="s">
        <v>344</v>
      </c>
      <c r="C49" s="2" t="s">
        <v>345</v>
      </c>
      <c r="D49" s="57"/>
      <c r="E49" s="464">
        <v>27.7</v>
      </c>
      <c r="F49" s="464">
        <v>-5.5</v>
      </c>
      <c r="G49" s="57">
        <v>22.2</v>
      </c>
      <c r="H49" s="57">
        <v>38.9</v>
      </c>
      <c r="I49" s="57">
        <v>38.9</v>
      </c>
    </row>
    <row r="50" spans="1:9" ht="39" x14ac:dyDescent="0.25">
      <c r="A50" s="11" t="s">
        <v>48</v>
      </c>
      <c r="B50" s="11"/>
      <c r="C50" s="14" t="s">
        <v>49</v>
      </c>
      <c r="D50" s="57" t="e">
        <f>#REF!</f>
        <v>#REF!</v>
      </c>
      <c r="E50" s="57">
        <v>11.4</v>
      </c>
      <c r="F50" s="57"/>
      <c r="G50" s="57">
        <v>11.4</v>
      </c>
      <c r="H50" s="57">
        <v>11.9</v>
      </c>
      <c r="I50" s="57">
        <v>11.9</v>
      </c>
    </row>
    <row r="51" spans="1:9" ht="26.25" x14ac:dyDescent="0.25">
      <c r="A51" s="11"/>
      <c r="B51" s="11" t="s">
        <v>344</v>
      </c>
      <c r="C51" s="2" t="s">
        <v>345</v>
      </c>
      <c r="D51" s="57"/>
      <c r="E51" s="57">
        <v>11.4</v>
      </c>
      <c r="F51" s="57"/>
      <c r="G51" s="57">
        <v>11.4</v>
      </c>
      <c r="H51" s="57">
        <v>11.9</v>
      </c>
      <c r="I51" s="57">
        <v>11.9</v>
      </c>
    </row>
    <row r="52" spans="1:9" ht="39" x14ac:dyDescent="0.25">
      <c r="A52" s="11" t="s">
        <v>50</v>
      </c>
      <c r="B52" s="11"/>
      <c r="C52" s="5" t="s">
        <v>51</v>
      </c>
      <c r="D52" s="57" t="e">
        <f>#REF!</f>
        <v>#REF!</v>
      </c>
      <c r="E52" s="438">
        <v>2.6</v>
      </c>
      <c r="F52" s="462">
        <f>F53</f>
        <v>-1.7</v>
      </c>
      <c r="G52" s="57">
        <f>SUM(E52:F52)</f>
        <v>0.90000000000000013</v>
      </c>
      <c r="H52" s="57">
        <f>H53</f>
        <v>0.90000000000000013</v>
      </c>
      <c r="I52" s="57">
        <f>I53</f>
        <v>0.8</v>
      </c>
    </row>
    <row r="53" spans="1:9" ht="26.25" x14ac:dyDescent="0.25">
      <c r="A53" s="11"/>
      <c r="B53" s="11" t="s">
        <v>344</v>
      </c>
      <c r="C53" s="2" t="s">
        <v>345</v>
      </c>
      <c r="D53" s="57"/>
      <c r="E53" s="438">
        <v>2.6</v>
      </c>
      <c r="F53" s="462">
        <v>-1.7</v>
      </c>
      <c r="G53" s="57">
        <f>SUM(E53:F53)</f>
        <v>0.90000000000000013</v>
      </c>
      <c r="H53" s="57">
        <f>2.6-1.7</f>
        <v>0.90000000000000013</v>
      </c>
      <c r="I53" s="57">
        <f>2.6-1.8</f>
        <v>0.8</v>
      </c>
    </row>
    <row r="54" spans="1:9" x14ac:dyDescent="0.25">
      <c r="A54" s="11" t="s">
        <v>52</v>
      </c>
      <c r="B54" s="11"/>
      <c r="C54" s="5" t="s">
        <v>53</v>
      </c>
      <c r="D54" s="57" t="e">
        <f>#REF!+#REF!</f>
        <v>#REF!</v>
      </c>
      <c r="E54" s="464">
        <v>1085.5</v>
      </c>
      <c r="F54" s="464"/>
      <c r="G54" s="57">
        <v>1085.5</v>
      </c>
      <c r="H54" s="57">
        <v>1134.4000000000001</v>
      </c>
      <c r="I54" s="57">
        <v>1134.4000000000001</v>
      </c>
    </row>
    <row r="55" spans="1:9" ht="51.75" x14ac:dyDescent="0.25">
      <c r="A55" s="11"/>
      <c r="B55" s="11" t="s">
        <v>535</v>
      </c>
      <c r="C55" s="2" t="s">
        <v>536</v>
      </c>
      <c r="D55" s="57"/>
      <c r="E55" s="464">
        <v>1037.4000000000001</v>
      </c>
      <c r="F55" s="464">
        <v>15.8</v>
      </c>
      <c r="G55" s="57">
        <v>1053.2</v>
      </c>
      <c r="H55" s="57">
        <v>1053.2</v>
      </c>
      <c r="I55" s="57">
        <v>1053.2</v>
      </c>
    </row>
    <row r="56" spans="1:9" ht="26.25" x14ac:dyDescent="0.25">
      <c r="A56" s="11"/>
      <c r="B56" s="11" t="s">
        <v>344</v>
      </c>
      <c r="C56" s="2" t="s">
        <v>345</v>
      </c>
      <c r="D56" s="57"/>
      <c r="E56" s="464">
        <v>48.1</v>
      </c>
      <c r="F56" s="464">
        <v>-15.8</v>
      </c>
      <c r="G56" s="57">
        <v>32.299999999999997</v>
      </c>
      <c r="H56" s="57">
        <v>81.2</v>
      </c>
      <c r="I56" s="57">
        <v>81.2</v>
      </c>
    </row>
    <row r="57" spans="1:9" ht="26.25" x14ac:dyDescent="0.25">
      <c r="A57" s="11" t="s">
        <v>54</v>
      </c>
      <c r="B57" s="11"/>
      <c r="C57" s="5" t="s">
        <v>1383</v>
      </c>
      <c r="D57" s="57" t="e">
        <f>SUM(#REF!)</f>
        <v>#REF!</v>
      </c>
      <c r="E57" s="466">
        <v>868.4</v>
      </c>
      <c r="F57" s="466">
        <f>F58+F59</f>
        <v>183.3</v>
      </c>
      <c r="G57" s="57">
        <f t="shared" ref="G57:I57" si="14">G58+G59</f>
        <v>1051.7</v>
      </c>
      <c r="H57" s="57">
        <f t="shared" si="14"/>
        <v>1095.8</v>
      </c>
      <c r="I57" s="57">
        <f t="shared" si="14"/>
        <v>1133.8</v>
      </c>
    </row>
    <row r="58" spans="1:9" ht="39" x14ac:dyDescent="0.25">
      <c r="A58" s="11"/>
      <c r="B58" s="11" t="s">
        <v>535</v>
      </c>
      <c r="C58" s="2" t="s">
        <v>536</v>
      </c>
      <c r="D58" s="57"/>
      <c r="E58" s="466">
        <v>868.4</v>
      </c>
      <c r="F58" s="466">
        <f>183.3-8.7</f>
        <v>174.60000000000002</v>
      </c>
      <c r="G58" s="57">
        <f>SUM(E58:F58)</f>
        <v>1043</v>
      </c>
      <c r="H58" s="57">
        <v>1043</v>
      </c>
      <c r="I58" s="57">
        <v>1043</v>
      </c>
    </row>
    <row r="59" spans="1:9" ht="26.25" x14ac:dyDescent="0.25">
      <c r="A59" s="11"/>
      <c r="B59" s="11" t="s">
        <v>344</v>
      </c>
      <c r="C59" s="2" t="s">
        <v>345</v>
      </c>
      <c r="D59" s="57"/>
      <c r="E59" s="467"/>
      <c r="F59" s="467">
        <v>8.6999999999999993</v>
      </c>
      <c r="G59" s="57">
        <v>8.6999999999999993</v>
      </c>
      <c r="H59" s="57">
        <v>52.8</v>
      </c>
      <c r="I59" s="57">
        <v>90.8</v>
      </c>
    </row>
    <row r="60" spans="1:9" ht="26.25" x14ac:dyDescent="0.25">
      <c r="A60" s="49" t="s">
        <v>55</v>
      </c>
      <c r="B60" s="49"/>
      <c r="C60" s="50" t="s">
        <v>56</v>
      </c>
      <c r="D60" s="51" t="e">
        <f>D61</f>
        <v>#REF!</v>
      </c>
      <c r="E60" s="51">
        <f>E61</f>
        <v>137.5</v>
      </c>
      <c r="F60" s="51"/>
      <c r="G60" s="51">
        <f>G61</f>
        <v>137.5</v>
      </c>
      <c r="H60" s="51">
        <f>H61</f>
        <v>143</v>
      </c>
      <c r="I60" s="51">
        <f>I61</f>
        <v>148.80000000000001</v>
      </c>
    </row>
    <row r="61" spans="1:9" ht="26.25" x14ac:dyDescent="0.25">
      <c r="A61" s="52" t="s">
        <v>57</v>
      </c>
      <c r="B61" s="56"/>
      <c r="C61" s="53" t="s">
        <v>58</v>
      </c>
      <c r="D61" s="25" t="e">
        <f t="shared" ref="D61:I61" si="15">D62+D64+D66</f>
        <v>#REF!</v>
      </c>
      <c r="E61" s="25">
        <f t="shared" si="15"/>
        <v>137.5</v>
      </c>
      <c r="F61" s="25"/>
      <c r="G61" s="25">
        <f t="shared" ref="G61" si="16">G62+G64+G66</f>
        <v>137.5</v>
      </c>
      <c r="H61" s="25">
        <f t="shared" si="15"/>
        <v>143</v>
      </c>
      <c r="I61" s="25">
        <f t="shared" si="15"/>
        <v>148.80000000000001</v>
      </c>
    </row>
    <row r="62" spans="1:9" ht="26.25" x14ac:dyDescent="0.25">
      <c r="A62" s="11" t="s">
        <v>59</v>
      </c>
      <c r="B62" s="11"/>
      <c r="C62" s="14" t="s">
        <v>60</v>
      </c>
      <c r="D62" s="57" t="e">
        <f>#REF!</f>
        <v>#REF!</v>
      </c>
      <c r="E62" s="57">
        <v>18.2</v>
      </c>
      <c r="F62" s="57"/>
      <c r="G62" s="57">
        <v>18.2</v>
      </c>
      <c r="H62" s="57">
        <v>18.899999999999999</v>
      </c>
      <c r="I62" s="57">
        <v>19.7</v>
      </c>
    </row>
    <row r="63" spans="1:9" ht="26.25" x14ac:dyDescent="0.25">
      <c r="A63" s="11"/>
      <c r="B63" s="11" t="s">
        <v>344</v>
      </c>
      <c r="C63" s="2" t="s">
        <v>345</v>
      </c>
      <c r="D63" s="57"/>
      <c r="E63" s="57">
        <v>18.2</v>
      </c>
      <c r="F63" s="57"/>
      <c r="G63" s="57">
        <v>18.2</v>
      </c>
      <c r="H63" s="57">
        <v>18.899999999999999</v>
      </c>
      <c r="I63" s="57">
        <v>19.7</v>
      </c>
    </row>
    <row r="64" spans="1:9" x14ac:dyDescent="0.25">
      <c r="A64" s="11" t="s">
        <v>61</v>
      </c>
      <c r="B64" s="11"/>
      <c r="C64" s="14" t="s">
        <v>62</v>
      </c>
      <c r="D64" s="57" t="e">
        <f>#REF!</f>
        <v>#REF!</v>
      </c>
      <c r="E64" s="57">
        <v>88</v>
      </c>
      <c r="F64" s="57"/>
      <c r="G64" s="57">
        <v>88</v>
      </c>
      <c r="H64" s="57">
        <v>91.5</v>
      </c>
      <c r="I64" s="57">
        <v>95.2</v>
      </c>
    </row>
    <row r="65" spans="1:15" ht="26.25" x14ac:dyDescent="0.25">
      <c r="A65" s="11"/>
      <c r="B65" s="11" t="s">
        <v>344</v>
      </c>
      <c r="C65" s="2" t="s">
        <v>345</v>
      </c>
      <c r="D65" s="57"/>
      <c r="E65" s="57">
        <v>88</v>
      </c>
      <c r="F65" s="57"/>
      <c r="G65" s="57">
        <v>88</v>
      </c>
      <c r="H65" s="57">
        <v>91.5</v>
      </c>
      <c r="I65" s="57">
        <v>95.2</v>
      </c>
    </row>
    <row r="66" spans="1:15" x14ac:dyDescent="0.25">
      <c r="A66" s="11" t="s">
        <v>63</v>
      </c>
      <c r="B66" s="11"/>
      <c r="C66" s="14" t="s">
        <v>64</v>
      </c>
      <c r="D66" s="57" t="e">
        <f>#REF!</f>
        <v>#REF!</v>
      </c>
      <c r="E66" s="57">
        <v>31.3</v>
      </c>
      <c r="F66" s="57"/>
      <c r="G66" s="57">
        <v>31.3</v>
      </c>
      <c r="H66" s="57">
        <v>32.6</v>
      </c>
      <c r="I66" s="57">
        <v>33.9</v>
      </c>
    </row>
    <row r="67" spans="1:15" ht="26.25" x14ac:dyDescent="0.25">
      <c r="A67" s="11"/>
      <c r="B67" s="11" t="s">
        <v>344</v>
      </c>
      <c r="C67" s="2" t="s">
        <v>345</v>
      </c>
      <c r="D67" s="57"/>
      <c r="E67" s="57">
        <v>31.3</v>
      </c>
      <c r="F67" s="57"/>
      <c r="G67" s="57">
        <v>31.3</v>
      </c>
      <c r="H67" s="57">
        <v>32.6</v>
      </c>
      <c r="I67" s="57">
        <v>33.9</v>
      </c>
    </row>
    <row r="68" spans="1:15" ht="26.25" x14ac:dyDescent="0.25">
      <c r="A68" s="46" t="s">
        <v>65</v>
      </c>
      <c r="B68" s="46"/>
      <c r="C68" s="58" t="s">
        <v>66</v>
      </c>
      <c r="D68" s="48" t="e">
        <f t="shared" ref="D68:I68" si="17">D69+D85+D126+D142+D152+D169+D188</f>
        <v>#REF!</v>
      </c>
      <c r="E68" s="48">
        <f t="shared" si="17"/>
        <v>487038.8</v>
      </c>
      <c r="F68" s="441">
        <f t="shared" si="17"/>
        <v>3228.2190000000001</v>
      </c>
      <c r="G68" s="48">
        <f t="shared" si="17"/>
        <v>490267.01900000003</v>
      </c>
      <c r="H68" s="48">
        <f t="shared" si="17"/>
        <v>427214.1</v>
      </c>
      <c r="I68" s="48">
        <f t="shared" si="17"/>
        <v>462477.10000000009</v>
      </c>
    </row>
    <row r="69" spans="1:15" x14ac:dyDescent="0.25">
      <c r="A69" s="49" t="s">
        <v>67</v>
      </c>
      <c r="B69" s="49"/>
      <c r="C69" s="50" t="s">
        <v>68</v>
      </c>
      <c r="D69" s="51" t="e">
        <f t="shared" ref="D69:I69" si="18">D70+D82</f>
        <v>#REF!</v>
      </c>
      <c r="E69" s="51">
        <f t="shared" si="18"/>
        <v>102718.59999999999</v>
      </c>
      <c r="F69" s="447">
        <f t="shared" ref="F69" si="19">F70+F82</f>
        <v>-12.1</v>
      </c>
      <c r="G69" s="51">
        <f t="shared" ref="G69" si="20">G70+G82</f>
        <v>102706.49999999999</v>
      </c>
      <c r="H69" s="51">
        <f t="shared" si="18"/>
        <v>96653.400000000009</v>
      </c>
      <c r="I69" s="51">
        <f t="shared" si="18"/>
        <v>93742.1</v>
      </c>
    </row>
    <row r="70" spans="1:15" ht="39" x14ac:dyDescent="0.25">
      <c r="A70" s="52" t="s">
        <v>69</v>
      </c>
      <c r="B70" s="52"/>
      <c r="C70" s="53" t="s">
        <v>70</v>
      </c>
      <c r="D70" s="25" t="e">
        <f t="shared" ref="D70:I70" si="21">D71+D78+D80+D73+D76</f>
        <v>#REF!</v>
      </c>
      <c r="E70" s="25">
        <f t="shared" si="21"/>
        <v>101548.29999999999</v>
      </c>
      <c r="F70" s="25">
        <f>F73</f>
        <v>-9.5</v>
      </c>
      <c r="G70" s="25">
        <f t="shared" ref="G70" si="22">G71+G78+G80+G73+G76</f>
        <v>101538.79999999999</v>
      </c>
      <c r="H70" s="25">
        <f t="shared" si="21"/>
        <v>95440.400000000009</v>
      </c>
      <c r="I70" s="25">
        <f t="shared" si="21"/>
        <v>92480.6</v>
      </c>
    </row>
    <row r="71" spans="1:15" ht="26.25" x14ac:dyDescent="0.25">
      <c r="A71" s="11" t="s">
        <v>71</v>
      </c>
      <c r="B71" s="20"/>
      <c r="C71" s="5" t="s">
        <v>72</v>
      </c>
      <c r="D71" s="22" t="e">
        <f>#REF!</f>
        <v>#REF!</v>
      </c>
      <c r="E71" s="22">
        <f>E72</f>
        <v>28904.899999999998</v>
      </c>
      <c r="F71" s="22"/>
      <c r="G71" s="22">
        <f>G72</f>
        <v>28904.899999999998</v>
      </c>
      <c r="H71" s="22">
        <f t="shared" ref="H71:I71" si="23">H72</f>
        <v>29358.5</v>
      </c>
      <c r="I71" s="22">
        <f t="shared" si="23"/>
        <v>29734.3</v>
      </c>
    </row>
    <row r="72" spans="1:15" ht="26.25" x14ac:dyDescent="0.25">
      <c r="A72" s="11"/>
      <c r="B72" s="1" t="s">
        <v>658</v>
      </c>
      <c r="C72" s="2" t="s">
        <v>659</v>
      </c>
      <c r="D72" s="22"/>
      <c r="E72" s="22">
        <f>29730.8-825.9</f>
        <v>28904.899999999998</v>
      </c>
      <c r="F72" s="22"/>
      <c r="G72" s="22">
        <f>29730.8-825.9</f>
        <v>28904.899999999998</v>
      </c>
      <c r="H72" s="22">
        <f>30880.8-1522.3</f>
        <v>29358.5</v>
      </c>
      <c r="I72" s="22">
        <f>32305.7-2571.4</f>
        <v>29734.3</v>
      </c>
    </row>
    <row r="73" spans="1:15" ht="39" x14ac:dyDescent="0.25">
      <c r="A73" s="11" t="s">
        <v>73</v>
      </c>
      <c r="B73" s="11"/>
      <c r="C73" s="5" t="s">
        <v>74</v>
      </c>
      <c r="D73" s="22" t="e">
        <f>SUM(#REF!+#REF!)</f>
        <v>#REF!</v>
      </c>
      <c r="E73" s="22">
        <v>66248.2</v>
      </c>
      <c r="F73" s="72">
        <f>F75</f>
        <v>-9.5</v>
      </c>
      <c r="G73" s="22">
        <f>G74+G75</f>
        <v>66238.7</v>
      </c>
      <c r="H73" s="22">
        <f>H74+H75</f>
        <v>61020.800000000003</v>
      </c>
      <c r="I73" s="22">
        <f>I74+I75</f>
        <v>57632.200000000004</v>
      </c>
      <c r="J73" s="59"/>
      <c r="K73" s="59"/>
      <c r="L73" s="59"/>
      <c r="M73" s="59"/>
      <c r="N73" s="59"/>
      <c r="O73" s="59"/>
    </row>
    <row r="74" spans="1:15" x14ac:dyDescent="0.25">
      <c r="A74" s="11"/>
      <c r="B74" s="1" t="s">
        <v>564</v>
      </c>
      <c r="C74" s="2" t="s">
        <v>565</v>
      </c>
      <c r="D74" s="22"/>
      <c r="E74" s="22">
        <v>22.9</v>
      </c>
      <c r="F74" s="72"/>
      <c r="G74" s="22">
        <v>22.9</v>
      </c>
      <c r="H74" s="22">
        <v>22.9</v>
      </c>
      <c r="I74" s="22">
        <v>22.9</v>
      </c>
      <c r="J74" s="59"/>
      <c r="K74" s="59"/>
      <c r="L74" s="59"/>
      <c r="M74" s="59"/>
      <c r="N74" s="59"/>
      <c r="O74" s="59"/>
    </row>
    <row r="75" spans="1:15" ht="26.25" x14ac:dyDescent="0.25">
      <c r="A75" s="11"/>
      <c r="B75" s="1" t="s">
        <v>658</v>
      </c>
      <c r="C75" s="2" t="s">
        <v>659</v>
      </c>
      <c r="D75" s="22"/>
      <c r="E75" s="22">
        <v>66225.3</v>
      </c>
      <c r="F75" s="72">
        <v>-9.5</v>
      </c>
      <c r="G75" s="22">
        <f>66225.3-9.5</f>
        <v>66215.8</v>
      </c>
      <c r="H75" s="22">
        <f>61006.8-8.9</f>
        <v>60997.9</v>
      </c>
      <c r="I75" s="22">
        <f>57618-8.7</f>
        <v>57609.3</v>
      </c>
      <c r="J75" s="59"/>
      <c r="K75" s="59"/>
      <c r="L75" s="59"/>
      <c r="M75" s="59"/>
      <c r="N75" s="59"/>
      <c r="O75" s="59"/>
    </row>
    <row r="76" spans="1:15" ht="39" x14ac:dyDescent="0.25">
      <c r="A76" s="11" t="s">
        <v>75</v>
      </c>
      <c r="B76" s="11"/>
      <c r="C76" s="5" t="s">
        <v>76</v>
      </c>
      <c r="D76" s="22" t="e">
        <f>#REF!</f>
        <v>#REF!</v>
      </c>
      <c r="E76" s="22">
        <v>5119.8999999999996</v>
      </c>
      <c r="F76" s="72"/>
      <c r="G76" s="22">
        <v>5119.8999999999996</v>
      </c>
      <c r="H76" s="22">
        <v>3734.7</v>
      </c>
      <c r="I76" s="22">
        <v>3734.7</v>
      </c>
    </row>
    <row r="77" spans="1:15" ht="26.25" x14ac:dyDescent="0.25">
      <c r="A77" s="11"/>
      <c r="B77" s="1" t="s">
        <v>658</v>
      </c>
      <c r="C77" s="2" t="s">
        <v>659</v>
      </c>
      <c r="D77" s="22"/>
      <c r="E77" s="22">
        <v>5119.8999999999996</v>
      </c>
      <c r="F77" s="22"/>
      <c r="G77" s="22">
        <v>5119.8999999999996</v>
      </c>
      <c r="H77" s="22">
        <v>3734.7</v>
      </c>
      <c r="I77" s="22">
        <v>3734.7</v>
      </c>
    </row>
    <row r="78" spans="1:15" ht="26.25" x14ac:dyDescent="0.25">
      <c r="A78" s="11" t="s">
        <v>77</v>
      </c>
      <c r="B78" s="11"/>
      <c r="C78" s="5" t="s">
        <v>78</v>
      </c>
      <c r="D78" s="22" t="e">
        <f>#REF!</f>
        <v>#REF!</v>
      </c>
      <c r="E78" s="22">
        <v>1057.2</v>
      </c>
      <c r="F78" s="22"/>
      <c r="G78" s="22">
        <v>1057.2</v>
      </c>
      <c r="H78" s="22">
        <v>1099.5</v>
      </c>
      <c r="I78" s="22">
        <v>1143.5</v>
      </c>
    </row>
    <row r="79" spans="1:15" ht="26.25" x14ac:dyDescent="0.25">
      <c r="A79" s="11"/>
      <c r="B79" s="1" t="s">
        <v>658</v>
      </c>
      <c r="C79" s="2" t="s">
        <v>659</v>
      </c>
      <c r="D79" s="22"/>
      <c r="E79" s="22">
        <v>1057.2</v>
      </c>
      <c r="F79" s="22"/>
      <c r="G79" s="22">
        <v>1057.2</v>
      </c>
      <c r="H79" s="22">
        <v>1099.5</v>
      </c>
      <c r="I79" s="22">
        <v>1143.5</v>
      </c>
    </row>
    <row r="80" spans="1:15" ht="26.25" x14ac:dyDescent="0.25">
      <c r="A80" s="26" t="s">
        <v>79</v>
      </c>
      <c r="B80" s="11"/>
      <c r="C80" s="5" t="s">
        <v>80</v>
      </c>
      <c r="D80" s="22" t="e">
        <f>#REF!</f>
        <v>#REF!</v>
      </c>
      <c r="E80" s="22">
        <v>218.1</v>
      </c>
      <c r="F80" s="22"/>
      <c r="G80" s="22">
        <v>218.1</v>
      </c>
      <c r="H80" s="22">
        <v>226.9</v>
      </c>
      <c r="I80" s="22">
        <v>235.9</v>
      </c>
      <c r="K80" s="60"/>
    </row>
    <row r="81" spans="1:11" ht="26.25" x14ac:dyDescent="0.25">
      <c r="A81" s="26"/>
      <c r="B81" s="1" t="s">
        <v>658</v>
      </c>
      <c r="C81" s="2" t="s">
        <v>659</v>
      </c>
      <c r="D81" s="22"/>
      <c r="E81" s="22">
        <v>218.1</v>
      </c>
      <c r="F81" s="22"/>
      <c r="G81" s="22">
        <v>218.1</v>
      </c>
      <c r="H81" s="22">
        <v>226.9</v>
      </c>
      <c r="I81" s="22">
        <v>235.9</v>
      </c>
      <c r="K81" s="60"/>
    </row>
    <row r="82" spans="1:11" ht="39" x14ac:dyDescent="0.25">
      <c r="A82" s="52" t="s">
        <v>81</v>
      </c>
      <c r="B82" s="52"/>
      <c r="C82" s="53" t="s">
        <v>82</v>
      </c>
      <c r="D82" s="25" t="e">
        <f t="shared" ref="D82:I83" si="24">D83</f>
        <v>#REF!</v>
      </c>
      <c r="E82" s="25">
        <f t="shared" si="24"/>
        <v>1170.3</v>
      </c>
      <c r="F82" s="25">
        <f>F83</f>
        <v>-2.6</v>
      </c>
      <c r="G82" s="25">
        <f t="shared" si="24"/>
        <v>1167.7</v>
      </c>
      <c r="H82" s="25">
        <f t="shared" si="24"/>
        <v>1213</v>
      </c>
      <c r="I82" s="25">
        <f t="shared" si="24"/>
        <v>1261.5</v>
      </c>
    </row>
    <row r="83" spans="1:11" x14ac:dyDescent="0.25">
      <c r="A83" s="11" t="s">
        <v>83</v>
      </c>
      <c r="B83" s="11"/>
      <c r="C83" s="14" t="s">
        <v>84</v>
      </c>
      <c r="D83" s="22" t="e">
        <f>#REF!</f>
        <v>#REF!</v>
      </c>
      <c r="E83" s="22">
        <v>1170.3</v>
      </c>
      <c r="F83" s="22">
        <f>F84</f>
        <v>-2.6</v>
      </c>
      <c r="G83" s="22">
        <f>G84</f>
        <v>1167.7</v>
      </c>
      <c r="H83" s="22">
        <f t="shared" si="24"/>
        <v>1213</v>
      </c>
      <c r="I83" s="22">
        <f t="shared" si="24"/>
        <v>1261.5</v>
      </c>
    </row>
    <row r="84" spans="1:11" ht="26.25" x14ac:dyDescent="0.25">
      <c r="A84" s="11"/>
      <c r="B84" s="1" t="s">
        <v>658</v>
      </c>
      <c r="C84" s="2" t="s">
        <v>659</v>
      </c>
      <c r="D84" s="22"/>
      <c r="E84" s="443">
        <v>1170.3</v>
      </c>
      <c r="F84" s="445">
        <v>-2.6</v>
      </c>
      <c r="G84" s="72">
        <f>SUM(E84:F84)</f>
        <v>1167.7</v>
      </c>
      <c r="H84" s="72">
        <f>1217.1-4.1</f>
        <v>1213</v>
      </c>
      <c r="I84" s="72">
        <f>1265.8-4.3</f>
        <v>1261.5</v>
      </c>
    </row>
    <row r="85" spans="1:11" x14ac:dyDescent="0.25">
      <c r="A85" s="49" t="s">
        <v>85</v>
      </c>
      <c r="B85" s="49"/>
      <c r="C85" s="50" t="s">
        <v>86</v>
      </c>
      <c r="D85" s="51" t="e">
        <f t="shared" ref="D85:I85" si="25">D86+D95+D114</f>
        <v>#REF!</v>
      </c>
      <c r="E85" s="51">
        <f t="shared" si="25"/>
        <v>322946.30000000005</v>
      </c>
      <c r="F85" s="51">
        <f>F86+F95+F114</f>
        <v>3353.8</v>
      </c>
      <c r="G85" s="51">
        <f t="shared" ref="G85" si="26">G86+G95+G114</f>
        <v>326300.10000000003</v>
      </c>
      <c r="H85" s="51">
        <f t="shared" si="25"/>
        <v>268648.30000000005</v>
      </c>
      <c r="I85" s="51">
        <f t="shared" si="25"/>
        <v>303360.60000000003</v>
      </c>
    </row>
    <row r="86" spans="1:11" ht="39" x14ac:dyDescent="0.25">
      <c r="A86" s="52" t="s">
        <v>87</v>
      </c>
      <c r="B86" s="52"/>
      <c r="C86" s="53" t="s">
        <v>88</v>
      </c>
      <c r="D86" s="25" t="e">
        <f t="shared" ref="D86:I86" si="27">D87+D89+D91</f>
        <v>#REF!</v>
      </c>
      <c r="E86" s="25">
        <f t="shared" si="27"/>
        <v>206079.6</v>
      </c>
      <c r="F86" s="25">
        <f>F89</f>
        <v>-41.7</v>
      </c>
      <c r="G86" s="25">
        <f t="shared" ref="G86" si="28">G87+G89+G91</f>
        <v>206037.90000000002</v>
      </c>
      <c r="H86" s="25">
        <f t="shared" si="27"/>
        <v>207179.60000000003</v>
      </c>
      <c r="I86" s="25">
        <f t="shared" si="27"/>
        <v>203819.10000000003</v>
      </c>
    </row>
    <row r="87" spans="1:11" ht="26.25" x14ac:dyDescent="0.25">
      <c r="A87" s="11" t="s">
        <v>89</v>
      </c>
      <c r="B87" s="20"/>
      <c r="C87" s="5" t="s">
        <v>90</v>
      </c>
      <c r="D87" s="22" t="e">
        <f>#REF!</f>
        <v>#REF!</v>
      </c>
      <c r="E87" s="22">
        <f>33832.3-745.6</f>
        <v>33086.700000000004</v>
      </c>
      <c r="F87" s="22"/>
      <c r="G87" s="22">
        <f>33832.3-745.6</f>
        <v>33086.700000000004</v>
      </c>
      <c r="H87" s="22">
        <f>34916.1-1321.9</f>
        <v>33594.199999999997</v>
      </c>
      <c r="I87" s="22">
        <f>36046.7-2251</f>
        <v>33795.699999999997</v>
      </c>
    </row>
    <row r="88" spans="1:11" ht="26.25" x14ac:dyDescent="0.25">
      <c r="A88" s="11"/>
      <c r="B88" s="1" t="s">
        <v>658</v>
      </c>
      <c r="C88" s="2" t="s">
        <v>659</v>
      </c>
      <c r="D88" s="22"/>
      <c r="E88" s="22">
        <v>33086.700000000004</v>
      </c>
      <c r="F88" s="22"/>
      <c r="G88" s="22">
        <v>33086.700000000004</v>
      </c>
      <c r="H88" s="22">
        <v>33594.199999999997</v>
      </c>
      <c r="I88" s="22">
        <v>33795.699999999997</v>
      </c>
    </row>
    <row r="89" spans="1:11" ht="51.75" x14ac:dyDescent="0.25">
      <c r="A89" s="11" t="s">
        <v>91</v>
      </c>
      <c r="B89" s="11"/>
      <c r="C89" s="5" t="s">
        <v>92</v>
      </c>
      <c r="D89" s="22" t="e">
        <f>#REF!</f>
        <v>#REF!</v>
      </c>
      <c r="E89" s="22">
        <f>167483.8+19.9</f>
        <v>167503.69999999998</v>
      </c>
      <c r="F89" s="72">
        <f>F90</f>
        <v>-41.7</v>
      </c>
      <c r="G89" s="22">
        <f>G90</f>
        <v>167462</v>
      </c>
      <c r="H89" s="22">
        <f>H90</f>
        <v>168096.2</v>
      </c>
      <c r="I89" s="22">
        <f>I90</f>
        <v>164534.20000000001</v>
      </c>
    </row>
    <row r="90" spans="1:11" ht="26.25" x14ac:dyDescent="0.25">
      <c r="A90" s="11"/>
      <c r="B90" s="1" t="s">
        <v>658</v>
      </c>
      <c r="C90" s="2" t="s">
        <v>659</v>
      </c>
      <c r="D90" s="22"/>
      <c r="E90" s="22">
        <v>167503.69999999998</v>
      </c>
      <c r="F90" s="72">
        <v>-41.7</v>
      </c>
      <c r="G90" s="22">
        <f>167503.7-41.7</f>
        <v>167462</v>
      </c>
      <c r="H90" s="22">
        <f>168138.5-42.3</f>
        <v>168096.2</v>
      </c>
      <c r="I90" s="22">
        <f>164576.7-42.5</f>
        <v>164534.20000000001</v>
      </c>
    </row>
    <row r="91" spans="1:11" ht="77.25" x14ac:dyDescent="0.25">
      <c r="A91" s="11" t="s">
        <v>93</v>
      </c>
      <c r="B91" s="11"/>
      <c r="C91" s="5" t="s">
        <v>94</v>
      </c>
      <c r="D91" s="57" t="e">
        <f>#REF!</f>
        <v>#REF!</v>
      </c>
      <c r="E91" s="57">
        <f>E93+E94</f>
        <v>5489.2</v>
      </c>
      <c r="F91" s="57"/>
      <c r="G91" s="57">
        <f>G93+G94</f>
        <v>5489.2</v>
      </c>
      <c r="H91" s="57">
        <f t="shared" ref="H91:I91" si="29">H93+H94</f>
        <v>5489.2</v>
      </c>
      <c r="I91" s="57">
        <f t="shared" si="29"/>
        <v>5489.2</v>
      </c>
    </row>
    <row r="92" spans="1:11" ht="26.25" x14ac:dyDescent="0.25">
      <c r="A92" s="11"/>
      <c r="B92" s="1" t="s">
        <v>658</v>
      </c>
      <c r="C92" s="2" t="s">
        <v>659</v>
      </c>
      <c r="D92" s="57"/>
      <c r="E92" s="57">
        <v>5489.2</v>
      </c>
      <c r="F92" s="57"/>
      <c r="G92" s="57">
        <v>5489.2</v>
      </c>
      <c r="H92" s="57">
        <v>5489.2</v>
      </c>
      <c r="I92" s="57">
        <v>5489.2</v>
      </c>
    </row>
    <row r="93" spans="1:11" x14ac:dyDescent="0.25">
      <c r="A93" s="11"/>
      <c r="B93" s="11"/>
      <c r="C93" s="5" t="s">
        <v>95</v>
      </c>
      <c r="D93" s="22">
        <v>4100.2</v>
      </c>
      <c r="E93" s="22">
        <v>5077.5</v>
      </c>
      <c r="F93" s="22"/>
      <c r="G93" s="22">
        <v>5077.5</v>
      </c>
      <c r="H93" s="22">
        <v>5077.5</v>
      </c>
      <c r="I93" s="22">
        <v>5077.5</v>
      </c>
    </row>
    <row r="94" spans="1:11" x14ac:dyDescent="0.25">
      <c r="A94" s="11"/>
      <c r="B94" s="11"/>
      <c r="C94" s="5" t="s">
        <v>96</v>
      </c>
      <c r="D94" s="22">
        <v>332.4</v>
      </c>
      <c r="E94" s="22">
        <v>411.7</v>
      </c>
      <c r="F94" s="22"/>
      <c r="G94" s="22">
        <v>411.7</v>
      </c>
      <c r="H94" s="22">
        <v>411.7</v>
      </c>
      <c r="I94" s="22">
        <v>411.7</v>
      </c>
    </row>
    <row r="95" spans="1:11" ht="39" x14ac:dyDescent="0.25">
      <c r="A95" s="52" t="s">
        <v>97</v>
      </c>
      <c r="B95" s="52"/>
      <c r="C95" s="53" t="s">
        <v>98</v>
      </c>
      <c r="D95" s="25" t="e">
        <f t="shared" ref="D95:I95" si="30">D96+D98+D100+D102+D108+D110+D104+D106+D112</f>
        <v>#REF!</v>
      </c>
      <c r="E95" s="25">
        <f t="shared" si="30"/>
        <v>44858.600000000006</v>
      </c>
      <c r="F95" s="25">
        <f t="shared" si="30"/>
        <v>3395.5</v>
      </c>
      <c r="G95" s="25">
        <f t="shared" ref="G95" si="31">G96+G98+G100+G102+G108+G110+G104+G106+G112</f>
        <v>48254.100000000006</v>
      </c>
      <c r="H95" s="25">
        <f t="shared" si="30"/>
        <v>47009.2</v>
      </c>
      <c r="I95" s="25">
        <f t="shared" si="30"/>
        <v>44781.500000000007</v>
      </c>
    </row>
    <row r="96" spans="1:11" ht="26.25" x14ac:dyDescent="0.25">
      <c r="A96" s="11" t="s">
        <v>99</v>
      </c>
      <c r="B96" s="11"/>
      <c r="C96" s="5" t="s">
        <v>100</v>
      </c>
      <c r="D96" s="22" t="e">
        <f>#REF!</f>
        <v>#REF!</v>
      </c>
      <c r="E96" s="22">
        <f>7186.8-130.2-834.9</f>
        <v>6221.7000000000007</v>
      </c>
      <c r="F96" s="22">
        <f>F97</f>
        <v>-104.5</v>
      </c>
      <c r="G96" s="22">
        <f>G97</f>
        <v>6117.2000000000007</v>
      </c>
      <c r="H96" s="22">
        <f t="shared" ref="H96:I96" si="32">H97</f>
        <v>6361.9</v>
      </c>
      <c r="I96" s="22">
        <f t="shared" si="32"/>
        <v>6616.4000000000005</v>
      </c>
    </row>
    <row r="97" spans="1:9" ht="26.25" x14ac:dyDescent="0.25">
      <c r="A97" s="11"/>
      <c r="B97" s="1" t="s">
        <v>658</v>
      </c>
      <c r="C97" s="2" t="s">
        <v>659</v>
      </c>
      <c r="D97" s="22"/>
      <c r="E97" s="443">
        <f>7186.8-130.2-834.9</f>
        <v>6221.7000000000007</v>
      </c>
      <c r="F97" s="445">
        <v>-104.5</v>
      </c>
      <c r="G97" s="72">
        <f>SUM(E97:F97)</f>
        <v>6117.2000000000007</v>
      </c>
      <c r="H97" s="72">
        <f>7474.2-135.4-868.3-108.6</f>
        <v>6361.9</v>
      </c>
      <c r="I97" s="72">
        <f>7773.2-140.9-903-112.9</f>
        <v>6616.4000000000005</v>
      </c>
    </row>
    <row r="98" spans="1:9" ht="26.25" x14ac:dyDescent="0.25">
      <c r="A98" s="11" t="s">
        <v>101</v>
      </c>
      <c r="B98" s="11"/>
      <c r="C98" s="5" t="s">
        <v>80</v>
      </c>
      <c r="D98" s="22" t="e">
        <f>#REF!</f>
        <v>#REF!</v>
      </c>
      <c r="E98" s="22">
        <v>2029.8</v>
      </c>
      <c r="F98" s="22"/>
      <c r="G98" s="22">
        <v>2029.8</v>
      </c>
      <c r="H98" s="22">
        <v>2111</v>
      </c>
      <c r="I98" s="22">
        <v>2195.5</v>
      </c>
    </row>
    <row r="99" spans="1:9" ht="26.25" x14ac:dyDescent="0.25">
      <c r="A99" s="11"/>
      <c r="B99" s="1" t="s">
        <v>658</v>
      </c>
      <c r="C99" s="2" t="s">
        <v>659</v>
      </c>
      <c r="D99" s="22"/>
      <c r="E99" s="22">
        <v>2029.8</v>
      </c>
      <c r="F99" s="22"/>
      <c r="G99" s="22">
        <v>2029.8</v>
      </c>
      <c r="H99" s="22">
        <v>2111</v>
      </c>
      <c r="I99" s="22">
        <v>2195.5</v>
      </c>
    </row>
    <row r="100" spans="1:9" ht="39" x14ac:dyDescent="0.25">
      <c r="A100" s="11" t="s">
        <v>102</v>
      </c>
      <c r="B100" s="11"/>
      <c r="C100" s="5" t="s">
        <v>103</v>
      </c>
      <c r="D100" s="22" t="e">
        <f>#REF!</f>
        <v>#REF!</v>
      </c>
      <c r="E100" s="22">
        <v>225.6</v>
      </c>
      <c r="F100" s="22"/>
      <c r="G100" s="22">
        <v>225.6</v>
      </c>
      <c r="H100" s="22">
        <v>234.7</v>
      </c>
      <c r="I100" s="22">
        <v>244.1</v>
      </c>
    </row>
    <row r="101" spans="1:9" ht="26.25" x14ac:dyDescent="0.25">
      <c r="A101" s="11"/>
      <c r="B101" s="1" t="s">
        <v>658</v>
      </c>
      <c r="C101" s="2" t="s">
        <v>659</v>
      </c>
      <c r="D101" s="22"/>
      <c r="E101" s="22">
        <v>225.6</v>
      </c>
      <c r="F101" s="22"/>
      <c r="G101" s="22">
        <v>225.6</v>
      </c>
      <c r="H101" s="22">
        <v>234.7</v>
      </c>
      <c r="I101" s="22">
        <v>244.1</v>
      </c>
    </row>
    <row r="102" spans="1:9" ht="26.25" x14ac:dyDescent="0.25">
      <c r="A102" s="11" t="s">
        <v>104</v>
      </c>
      <c r="B102" s="11"/>
      <c r="C102" s="5" t="s">
        <v>105</v>
      </c>
      <c r="D102" s="22" t="e">
        <f>#REF!</f>
        <v>#REF!</v>
      </c>
      <c r="E102" s="22">
        <v>250.8</v>
      </c>
      <c r="F102" s="22"/>
      <c r="G102" s="22">
        <v>250.8</v>
      </c>
      <c r="H102" s="22">
        <v>260.8</v>
      </c>
      <c r="I102" s="22">
        <v>271.2</v>
      </c>
    </row>
    <row r="103" spans="1:9" ht="26.25" x14ac:dyDescent="0.25">
      <c r="A103" s="11"/>
      <c r="B103" s="1" t="s">
        <v>658</v>
      </c>
      <c r="C103" s="2" t="s">
        <v>659</v>
      </c>
      <c r="D103" s="22"/>
      <c r="E103" s="22">
        <v>250.8</v>
      </c>
      <c r="F103" s="22"/>
      <c r="G103" s="22">
        <v>250.8</v>
      </c>
      <c r="H103" s="22">
        <v>260.8</v>
      </c>
      <c r="I103" s="22">
        <v>271.2</v>
      </c>
    </row>
    <row r="104" spans="1:9" ht="25.5" x14ac:dyDescent="0.25">
      <c r="A104" s="61" t="s">
        <v>106</v>
      </c>
      <c r="B104" s="11"/>
      <c r="C104" s="3" t="s">
        <v>107</v>
      </c>
      <c r="D104" s="22" t="e">
        <f>SUM(#REF!)</f>
        <v>#REF!</v>
      </c>
      <c r="E104" s="22">
        <v>5176.8</v>
      </c>
      <c r="F104" s="22"/>
      <c r="G104" s="22">
        <v>5176.8</v>
      </c>
      <c r="H104" s="22">
        <v>5159.6000000000004</v>
      </c>
      <c r="I104" s="22">
        <v>5193.8999999999996</v>
      </c>
    </row>
    <row r="105" spans="1:9" ht="26.25" x14ac:dyDescent="0.25">
      <c r="A105" s="61"/>
      <c r="B105" s="1" t="s">
        <v>658</v>
      </c>
      <c r="C105" s="2" t="s">
        <v>659</v>
      </c>
      <c r="D105" s="22"/>
      <c r="E105" s="22">
        <v>5176.8</v>
      </c>
      <c r="F105" s="22"/>
      <c r="G105" s="22">
        <v>5176.8</v>
      </c>
      <c r="H105" s="22">
        <v>5159.6000000000004</v>
      </c>
      <c r="I105" s="22">
        <v>5193.8999999999996</v>
      </c>
    </row>
    <row r="106" spans="1:9" ht="26.25" x14ac:dyDescent="0.25">
      <c r="A106" s="61" t="s">
        <v>108</v>
      </c>
      <c r="B106" s="11"/>
      <c r="C106" s="5" t="s">
        <v>109</v>
      </c>
      <c r="D106" s="22" t="e">
        <f>#REF!</f>
        <v>#REF!</v>
      </c>
      <c r="E106" s="22">
        <v>6668</v>
      </c>
      <c r="F106" s="22"/>
      <c r="G106" s="22">
        <v>6668</v>
      </c>
      <c r="H106" s="22">
        <v>6616.6</v>
      </c>
      <c r="I106" s="22">
        <v>6410.9</v>
      </c>
    </row>
    <row r="107" spans="1:9" ht="26.25" x14ac:dyDescent="0.25">
      <c r="A107" s="61"/>
      <c r="B107" s="1" t="s">
        <v>658</v>
      </c>
      <c r="C107" s="2" t="s">
        <v>659</v>
      </c>
      <c r="D107" s="22"/>
      <c r="E107" s="22">
        <v>6668</v>
      </c>
      <c r="F107" s="22"/>
      <c r="G107" s="22">
        <v>6668</v>
      </c>
      <c r="H107" s="22">
        <v>6616.6</v>
      </c>
      <c r="I107" s="22">
        <v>6410.9</v>
      </c>
    </row>
    <row r="108" spans="1:9" ht="39" x14ac:dyDescent="0.25">
      <c r="A108" s="11" t="s">
        <v>110</v>
      </c>
      <c r="B108" s="11"/>
      <c r="C108" s="5" t="s">
        <v>111</v>
      </c>
      <c r="D108" s="22" t="e">
        <f>#REF!</f>
        <v>#REF!</v>
      </c>
      <c r="E108" s="22">
        <v>12128.1</v>
      </c>
      <c r="F108" s="22"/>
      <c r="G108" s="22">
        <v>12128.1</v>
      </c>
      <c r="H108" s="22">
        <v>12128.1</v>
      </c>
      <c r="I108" s="22">
        <v>12128.1</v>
      </c>
    </row>
    <row r="109" spans="1:9" ht="26.25" x14ac:dyDescent="0.25">
      <c r="A109" s="11"/>
      <c r="B109" s="1" t="s">
        <v>658</v>
      </c>
      <c r="C109" s="2" t="s">
        <v>659</v>
      </c>
      <c r="D109" s="22"/>
      <c r="E109" s="22">
        <v>12128.1</v>
      </c>
      <c r="F109" s="22"/>
      <c r="G109" s="22">
        <v>12128.1</v>
      </c>
      <c r="H109" s="22">
        <v>12128.1</v>
      </c>
      <c r="I109" s="22">
        <v>12128.1</v>
      </c>
    </row>
    <row r="110" spans="1:9" ht="39" x14ac:dyDescent="0.25">
      <c r="A110" s="11" t="s">
        <v>112</v>
      </c>
      <c r="B110" s="11"/>
      <c r="C110" s="5" t="s">
        <v>591</v>
      </c>
      <c r="D110" s="22" t="e">
        <f>#REF!</f>
        <v>#REF!</v>
      </c>
      <c r="E110" s="22">
        <v>12157.8</v>
      </c>
      <c r="F110" s="22"/>
      <c r="G110" s="22">
        <v>12157.8</v>
      </c>
      <c r="H110" s="22">
        <v>12003.5</v>
      </c>
      <c r="I110" s="22">
        <v>11721.4</v>
      </c>
    </row>
    <row r="111" spans="1:9" ht="26.25" x14ac:dyDescent="0.25">
      <c r="A111" s="11"/>
      <c r="B111" s="1" t="s">
        <v>658</v>
      </c>
      <c r="C111" s="2" t="s">
        <v>659</v>
      </c>
      <c r="D111" s="22"/>
      <c r="E111" s="22">
        <v>12157.8</v>
      </c>
      <c r="F111" s="22"/>
      <c r="G111" s="22">
        <v>12157.8</v>
      </c>
      <c r="H111" s="22">
        <v>12003.5</v>
      </c>
      <c r="I111" s="22">
        <v>11721.4</v>
      </c>
    </row>
    <row r="112" spans="1:9" ht="26.25" x14ac:dyDescent="0.25">
      <c r="A112" s="11" t="s">
        <v>592</v>
      </c>
      <c r="B112" s="11"/>
      <c r="C112" s="5" t="s">
        <v>1395</v>
      </c>
      <c r="D112" s="22" t="e">
        <f>#REF!</f>
        <v>#REF!</v>
      </c>
      <c r="E112" s="443">
        <v>0</v>
      </c>
      <c r="F112" s="445">
        <f>F113</f>
        <v>3500</v>
      </c>
      <c r="G112" s="22">
        <f>G113</f>
        <v>3500</v>
      </c>
      <c r="H112" s="22">
        <v>2133</v>
      </c>
      <c r="I112" s="22">
        <v>0</v>
      </c>
    </row>
    <row r="113" spans="1:11" ht="26.25" x14ac:dyDescent="0.25">
      <c r="A113" s="11"/>
      <c r="B113" s="1" t="s">
        <v>658</v>
      </c>
      <c r="C113" s="2" t="s">
        <v>659</v>
      </c>
      <c r="D113" s="22"/>
      <c r="E113" s="443">
        <v>0</v>
      </c>
      <c r="F113" s="445">
        <v>3500</v>
      </c>
      <c r="G113" s="22">
        <v>3500</v>
      </c>
      <c r="H113" s="22">
        <v>2133</v>
      </c>
      <c r="I113" s="22">
        <v>0</v>
      </c>
    </row>
    <row r="114" spans="1:11" s="62" customFormat="1" ht="39" x14ac:dyDescent="0.25">
      <c r="A114" s="52" t="s">
        <v>115</v>
      </c>
      <c r="B114" s="52"/>
      <c r="C114" s="53" t="s">
        <v>116</v>
      </c>
      <c r="D114" s="25" t="e">
        <f>D115+D122</f>
        <v>#REF!</v>
      </c>
      <c r="E114" s="25">
        <f>E115+E122</f>
        <v>72008.100000000006</v>
      </c>
      <c r="F114" s="25"/>
      <c r="G114" s="25">
        <f>G115+G122</f>
        <v>72008.100000000006</v>
      </c>
      <c r="H114" s="25">
        <f>H115+H122+H120</f>
        <v>14459.5</v>
      </c>
      <c r="I114" s="25">
        <f>I115+I122</f>
        <v>54760</v>
      </c>
    </row>
    <row r="115" spans="1:11" s="62" customFormat="1" ht="25.5" x14ac:dyDescent="0.25">
      <c r="A115" s="11" t="s">
        <v>117</v>
      </c>
      <c r="B115" s="11"/>
      <c r="C115" s="4" t="s">
        <v>118</v>
      </c>
      <c r="D115" s="22" t="e">
        <f>#REF!</f>
        <v>#REF!</v>
      </c>
      <c r="E115" s="22">
        <f>E117+E118+E119</f>
        <v>72008.100000000006</v>
      </c>
      <c r="F115" s="22"/>
      <c r="G115" s="22">
        <f>G117+G118+G119</f>
        <v>72008.100000000006</v>
      </c>
      <c r="H115" s="22">
        <f>H117+H118+H119</f>
        <v>10359.5</v>
      </c>
      <c r="I115" s="22">
        <v>0</v>
      </c>
    </row>
    <row r="116" spans="1:11" s="62" customFormat="1" ht="26.25" x14ac:dyDescent="0.25">
      <c r="A116" s="11"/>
      <c r="B116" s="11" t="s">
        <v>371</v>
      </c>
      <c r="C116" s="5" t="s">
        <v>372</v>
      </c>
      <c r="D116" s="22"/>
      <c r="E116" s="22">
        <v>72008.100000000006</v>
      </c>
      <c r="F116" s="22"/>
      <c r="G116" s="22">
        <v>72008.100000000006</v>
      </c>
      <c r="H116" s="22">
        <v>10359.5</v>
      </c>
      <c r="I116" s="22">
        <v>0</v>
      </c>
    </row>
    <row r="117" spans="1:11" x14ac:dyDescent="0.25">
      <c r="A117" s="11"/>
      <c r="B117" s="11"/>
      <c r="C117" s="5" t="s">
        <v>119</v>
      </c>
      <c r="D117" s="22">
        <v>50000</v>
      </c>
      <c r="E117" s="22">
        <v>50000</v>
      </c>
      <c r="F117" s="22"/>
      <c r="G117" s="22">
        <v>50000</v>
      </c>
      <c r="H117" s="22">
        <v>0</v>
      </c>
      <c r="I117" s="22">
        <v>0</v>
      </c>
    </row>
    <row r="118" spans="1:11" x14ac:dyDescent="0.25">
      <c r="A118" s="11"/>
      <c r="B118" s="11"/>
      <c r="C118" s="5" t="s">
        <v>120</v>
      </c>
      <c r="D118" s="22">
        <v>8338.9</v>
      </c>
      <c r="E118" s="22">
        <v>8338.9</v>
      </c>
      <c r="F118" s="22"/>
      <c r="G118" s="22">
        <v>8338.9</v>
      </c>
      <c r="H118" s="22">
        <v>10359.5</v>
      </c>
      <c r="I118" s="22">
        <v>0</v>
      </c>
    </row>
    <row r="119" spans="1:11" x14ac:dyDescent="0.25">
      <c r="A119" s="11"/>
      <c r="B119" s="11"/>
      <c r="C119" s="5" t="s">
        <v>121</v>
      </c>
      <c r="D119" s="22">
        <v>13669.2</v>
      </c>
      <c r="E119" s="22">
        <v>13669.2</v>
      </c>
      <c r="F119" s="22"/>
      <c r="G119" s="22">
        <v>13669.2</v>
      </c>
      <c r="H119" s="22">
        <v>0</v>
      </c>
      <c r="I119" s="22">
        <v>0</v>
      </c>
    </row>
    <row r="120" spans="1:11" ht="25.5" x14ac:dyDescent="0.25">
      <c r="A120" s="11" t="s">
        <v>593</v>
      </c>
      <c r="B120" s="11"/>
      <c r="C120" s="104" t="s">
        <v>594</v>
      </c>
      <c r="D120" s="22"/>
      <c r="E120" s="22"/>
      <c r="F120" s="22"/>
      <c r="G120" s="22">
        <v>0</v>
      </c>
      <c r="H120" s="22">
        <v>4100</v>
      </c>
      <c r="I120" s="22">
        <v>0</v>
      </c>
    </row>
    <row r="121" spans="1:11" ht="26.25" x14ac:dyDescent="0.25">
      <c r="A121" s="11"/>
      <c r="B121" s="1" t="s">
        <v>344</v>
      </c>
      <c r="C121" s="2" t="s">
        <v>345</v>
      </c>
      <c r="D121" s="22"/>
      <c r="E121" s="22"/>
      <c r="F121" s="22"/>
      <c r="G121" s="22">
        <v>0</v>
      </c>
      <c r="H121" s="22">
        <v>4100</v>
      </c>
      <c r="I121" s="22">
        <v>0</v>
      </c>
    </row>
    <row r="122" spans="1:11" s="62" customFormat="1" ht="25.5" x14ac:dyDescent="0.25">
      <c r="A122" s="11" t="s">
        <v>595</v>
      </c>
      <c r="B122" s="11"/>
      <c r="C122" s="4" t="s">
        <v>122</v>
      </c>
      <c r="D122" s="22">
        <v>62036.7</v>
      </c>
      <c r="E122" s="22"/>
      <c r="F122" s="22"/>
      <c r="G122" s="22">
        <v>0</v>
      </c>
      <c r="H122" s="22">
        <v>0</v>
      </c>
      <c r="I122" s="22">
        <f>I124+I125</f>
        <v>54760</v>
      </c>
    </row>
    <row r="123" spans="1:11" s="62" customFormat="1" ht="26.25" x14ac:dyDescent="0.25">
      <c r="A123" s="11"/>
      <c r="B123" s="11" t="s">
        <v>371</v>
      </c>
      <c r="C123" s="5" t="s">
        <v>372</v>
      </c>
      <c r="D123" s="22"/>
      <c r="E123" s="22"/>
      <c r="F123" s="22"/>
      <c r="G123" s="22">
        <v>0</v>
      </c>
      <c r="H123" s="22">
        <v>0</v>
      </c>
      <c r="I123" s="22">
        <v>54760</v>
      </c>
    </row>
    <row r="124" spans="1:11" x14ac:dyDescent="0.25">
      <c r="A124" s="11"/>
      <c r="B124" s="11"/>
      <c r="C124" s="5" t="s">
        <v>188</v>
      </c>
      <c r="D124" s="22">
        <v>50000</v>
      </c>
      <c r="E124" s="22"/>
      <c r="F124" s="22"/>
      <c r="G124" s="22">
        <v>0</v>
      </c>
      <c r="H124" s="22">
        <v>0</v>
      </c>
      <c r="I124" s="22">
        <v>49646</v>
      </c>
    </row>
    <row r="125" spans="1:11" x14ac:dyDescent="0.25">
      <c r="A125" s="11"/>
      <c r="B125" s="11"/>
      <c r="C125" s="5" t="s">
        <v>121</v>
      </c>
      <c r="D125" s="22">
        <v>13669.2</v>
      </c>
      <c r="E125" s="22">
        <v>0</v>
      </c>
      <c r="F125" s="22"/>
      <c r="G125" s="22">
        <v>0</v>
      </c>
      <c r="H125" s="22">
        <v>0</v>
      </c>
      <c r="I125" s="22">
        <v>5114</v>
      </c>
    </row>
    <row r="126" spans="1:11" x14ac:dyDescent="0.25">
      <c r="A126" s="49" t="s">
        <v>123</v>
      </c>
      <c r="B126" s="49"/>
      <c r="C126" s="50" t="s">
        <v>124</v>
      </c>
      <c r="D126" s="51" t="e">
        <f>D127</f>
        <v>#REF!</v>
      </c>
      <c r="E126" s="51">
        <f>E127</f>
        <v>31640.799999999999</v>
      </c>
      <c r="F126" s="51"/>
      <c r="G126" s="51">
        <f>G127</f>
        <v>31640.799999999999</v>
      </c>
      <c r="H126" s="51">
        <f>H127</f>
        <v>31736.600000000002</v>
      </c>
      <c r="I126" s="51">
        <f>I127</f>
        <v>31840.800000000003</v>
      </c>
      <c r="K126" s="63">
        <f>E126+H126+I126</f>
        <v>95218.200000000012</v>
      </c>
    </row>
    <row r="127" spans="1:11" ht="26.25" x14ac:dyDescent="0.25">
      <c r="A127" s="52" t="s">
        <v>125</v>
      </c>
      <c r="B127" s="56"/>
      <c r="C127" s="53" t="s">
        <v>126</v>
      </c>
      <c r="D127" s="25" t="e">
        <f>D128+D130+D132+D134+#REF!+D136+D138+D140</f>
        <v>#REF!</v>
      </c>
      <c r="E127" s="25">
        <f>E128+E130+E132+E134+E136+E138+E140</f>
        <v>31640.799999999999</v>
      </c>
      <c r="F127" s="25"/>
      <c r="G127" s="25">
        <f>G128+G130+G132+G134+G136+G138+G140</f>
        <v>31640.799999999999</v>
      </c>
      <c r="H127" s="25">
        <f t="shared" ref="H127:I127" si="33">H128+H130+H132+H134+H136+H138+H140</f>
        <v>31736.600000000002</v>
      </c>
      <c r="I127" s="25">
        <f t="shared" si="33"/>
        <v>31840.800000000003</v>
      </c>
    </row>
    <row r="128" spans="1:11" ht="26.25" x14ac:dyDescent="0.25">
      <c r="A128" s="11" t="s">
        <v>127</v>
      </c>
      <c r="B128" s="20"/>
      <c r="C128" s="5" t="s">
        <v>596</v>
      </c>
      <c r="D128" s="22" t="e">
        <f>#REF!</f>
        <v>#REF!</v>
      </c>
      <c r="E128" s="22">
        <f>19664.1-55.8</f>
        <v>19608.3</v>
      </c>
      <c r="F128" s="22"/>
      <c r="G128" s="22">
        <f>19664.1-55.8</f>
        <v>19608.3</v>
      </c>
      <c r="H128" s="22">
        <f>19751.9-99.2</f>
        <v>19652.7</v>
      </c>
      <c r="I128" s="22">
        <f>19847.6-128.1</f>
        <v>19719.5</v>
      </c>
    </row>
    <row r="129" spans="1:11" ht="26.25" x14ac:dyDescent="0.25">
      <c r="A129" s="11"/>
      <c r="B129" s="1" t="s">
        <v>658</v>
      </c>
      <c r="C129" s="2" t="s">
        <v>659</v>
      </c>
      <c r="D129" s="22"/>
      <c r="E129" s="22">
        <f>19664.1-55.8</f>
        <v>19608.3</v>
      </c>
      <c r="F129" s="22"/>
      <c r="G129" s="22">
        <f>19664.1-55.8</f>
        <v>19608.3</v>
      </c>
      <c r="H129" s="22">
        <f>19751.9-99.2</f>
        <v>19652.7</v>
      </c>
      <c r="I129" s="22">
        <f>19847.6-128.1</f>
        <v>19719.5</v>
      </c>
    </row>
    <row r="130" spans="1:11" ht="26.25" x14ac:dyDescent="0.25">
      <c r="A130" s="11" t="s">
        <v>128</v>
      </c>
      <c r="B130" s="20"/>
      <c r="C130" s="5" t="s">
        <v>129</v>
      </c>
      <c r="D130" s="22" t="e">
        <f>#REF!</f>
        <v>#REF!</v>
      </c>
      <c r="E130" s="22">
        <f>11630.2-286</f>
        <v>11344.2</v>
      </c>
      <c r="F130" s="22"/>
      <c r="G130" s="22">
        <f>11630.2-286</f>
        <v>11344.2</v>
      </c>
      <c r="H130" s="22">
        <f>11742-359</f>
        <v>11383</v>
      </c>
      <c r="I130" s="22">
        <f>11858.6-453.6</f>
        <v>11405</v>
      </c>
    </row>
    <row r="131" spans="1:11" ht="26.25" x14ac:dyDescent="0.25">
      <c r="A131" s="11"/>
      <c r="B131" s="1" t="s">
        <v>658</v>
      </c>
      <c r="C131" s="2" t="s">
        <v>659</v>
      </c>
      <c r="D131" s="22"/>
      <c r="E131" s="22">
        <f>11630.2-286</f>
        <v>11344.2</v>
      </c>
      <c r="F131" s="22"/>
      <c r="G131" s="22">
        <f>11630.2-286</f>
        <v>11344.2</v>
      </c>
      <c r="H131" s="22">
        <f>11742-359</f>
        <v>11383</v>
      </c>
      <c r="I131" s="22">
        <f>11858.6-453.6</f>
        <v>11405</v>
      </c>
    </row>
    <row r="132" spans="1:11" x14ac:dyDescent="0.25">
      <c r="A132" s="11" t="s">
        <v>130</v>
      </c>
      <c r="B132" s="11"/>
      <c r="C132" s="5" t="s">
        <v>131</v>
      </c>
      <c r="D132" s="22" t="e">
        <f>#REF!</f>
        <v>#REF!</v>
      </c>
      <c r="E132" s="22">
        <v>274.2</v>
      </c>
      <c r="F132" s="22"/>
      <c r="G132" s="22">
        <v>274.2</v>
      </c>
      <c r="H132" s="22">
        <v>278.2</v>
      </c>
      <c r="I132" s="22">
        <v>282.39999999999998</v>
      </c>
    </row>
    <row r="133" spans="1:11" ht="26.25" x14ac:dyDescent="0.25">
      <c r="A133" s="11"/>
      <c r="B133" s="1" t="s">
        <v>658</v>
      </c>
      <c r="C133" s="2" t="s">
        <v>659</v>
      </c>
      <c r="D133" s="22"/>
      <c r="E133" s="22">
        <v>274.2</v>
      </c>
      <c r="F133" s="22"/>
      <c r="G133" s="22">
        <v>274.2</v>
      </c>
      <c r="H133" s="22">
        <v>278.2</v>
      </c>
      <c r="I133" s="22">
        <v>282.39999999999998</v>
      </c>
    </row>
    <row r="134" spans="1:11" x14ac:dyDescent="0.25">
      <c r="A134" s="11" t="s">
        <v>132</v>
      </c>
      <c r="B134" s="11"/>
      <c r="C134" s="5" t="s">
        <v>133</v>
      </c>
      <c r="D134" s="22" t="e">
        <f>#REF!</f>
        <v>#REF!</v>
      </c>
      <c r="E134" s="22">
        <v>100.1</v>
      </c>
      <c r="F134" s="22"/>
      <c r="G134" s="22">
        <v>100.1</v>
      </c>
      <c r="H134" s="22">
        <v>100.7</v>
      </c>
      <c r="I134" s="22">
        <v>101.4</v>
      </c>
    </row>
    <row r="135" spans="1:11" ht="26.25" x14ac:dyDescent="0.25">
      <c r="A135" s="11"/>
      <c r="B135" s="1" t="s">
        <v>658</v>
      </c>
      <c r="C135" s="2" t="s">
        <v>659</v>
      </c>
      <c r="D135" s="22"/>
      <c r="E135" s="22">
        <v>100.1</v>
      </c>
      <c r="F135" s="22"/>
      <c r="G135" s="22">
        <v>100.1</v>
      </c>
      <c r="H135" s="22">
        <v>100.7</v>
      </c>
      <c r="I135" s="22">
        <v>101.4</v>
      </c>
    </row>
    <row r="136" spans="1:11" ht="26.25" x14ac:dyDescent="0.25">
      <c r="A136" s="11" t="s">
        <v>134</v>
      </c>
      <c r="B136" s="11"/>
      <c r="C136" s="5" t="s">
        <v>135</v>
      </c>
      <c r="D136" s="22" t="e">
        <f>#REF!</f>
        <v>#REF!</v>
      </c>
      <c r="E136" s="22">
        <v>74.599999999999994</v>
      </c>
      <c r="F136" s="22"/>
      <c r="G136" s="22">
        <v>74.599999999999994</v>
      </c>
      <c r="H136" s="22">
        <v>76.8</v>
      </c>
      <c r="I136" s="22">
        <v>81.2</v>
      </c>
    </row>
    <row r="137" spans="1:11" ht="26.25" x14ac:dyDescent="0.25">
      <c r="A137" s="11"/>
      <c r="B137" s="1" t="s">
        <v>658</v>
      </c>
      <c r="C137" s="2" t="s">
        <v>659</v>
      </c>
      <c r="D137" s="22"/>
      <c r="E137" s="22">
        <v>74.599999999999994</v>
      </c>
      <c r="F137" s="22"/>
      <c r="G137" s="22">
        <v>74.599999999999994</v>
      </c>
      <c r="H137" s="22">
        <v>76.8</v>
      </c>
      <c r="I137" s="22">
        <v>81.2</v>
      </c>
    </row>
    <row r="138" spans="1:11" ht="39" x14ac:dyDescent="0.25">
      <c r="A138" s="11" t="s">
        <v>136</v>
      </c>
      <c r="B138" s="11"/>
      <c r="C138" s="5" t="s">
        <v>137</v>
      </c>
      <c r="D138" s="22" t="e">
        <f>#REF!</f>
        <v>#REF!</v>
      </c>
      <c r="E138" s="22">
        <v>83.7</v>
      </c>
      <c r="F138" s="22"/>
      <c r="G138" s="22">
        <v>83.7</v>
      </c>
      <c r="H138" s="22">
        <v>85.4</v>
      </c>
      <c r="I138" s="22">
        <v>87.3</v>
      </c>
    </row>
    <row r="139" spans="1:11" ht="26.25" x14ac:dyDescent="0.25">
      <c r="A139" s="11"/>
      <c r="B139" s="1" t="s">
        <v>658</v>
      </c>
      <c r="C139" s="2" t="s">
        <v>659</v>
      </c>
      <c r="D139" s="22"/>
      <c r="E139" s="22">
        <v>83.7</v>
      </c>
      <c r="F139" s="22"/>
      <c r="G139" s="22">
        <v>83.7</v>
      </c>
      <c r="H139" s="22">
        <v>85.4</v>
      </c>
      <c r="I139" s="22">
        <v>87.3</v>
      </c>
    </row>
    <row r="140" spans="1:11" ht="26.25" x14ac:dyDescent="0.25">
      <c r="A140" s="11" t="s">
        <v>597</v>
      </c>
      <c r="B140" s="11"/>
      <c r="C140" s="5" t="s">
        <v>138</v>
      </c>
      <c r="D140" s="22" t="e">
        <f>#REF!</f>
        <v>#REF!</v>
      </c>
      <c r="E140" s="22">
        <v>155.69999999999999</v>
      </c>
      <c r="F140" s="22"/>
      <c r="G140" s="22">
        <v>155.69999999999999</v>
      </c>
      <c r="H140" s="22">
        <v>159.80000000000001</v>
      </c>
      <c r="I140" s="22">
        <v>164</v>
      </c>
    </row>
    <row r="141" spans="1:11" ht="26.25" x14ac:dyDescent="0.25">
      <c r="A141" s="11"/>
      <c r="B141" s="1" t="s">
        <v>658</v>
      </c>
      <c r="C141" s="2" t="s">
        <v>659</v>
      </c>
      <c r="D141" s="22"/>
      <c r="E141" s="22">
        <v>155.69999999999999</v>
      </c>
      <c r="F141" s="22"/>
      <c r="G141" s="22">
        <v>155.69999999999999</v>
      </c>
      <c r="H141" s="22">
        <v>159.80000000000001</v>
      </c>
      <c r="I141" s="22">
        <v>164</v>
      </c>
    </row>
    <row r="142" spans="1:11" ht="26.25" x14ac:dyDescent="0.25">
      <c r="A142" s="49" t="s">
        <v>139</v>
      </c>
      <c r="B142" s="49"/>
      <c r="C142" s="50" t="s">
        <v>140</v>
      </c>
      <c r="D142" s="51" t="e">
        <f t="shared" ref="D142:I142" si="34">D143</f>
        <v>#REF!</v>
      </c>
      <c r="E142" s="51">
        <f t="shared" si="34"/>
        <v>6259.2999999999993</v>
      </c>
      <c r="F142" s="51">
        <f t="shared" si="34"/>
        <v>-113.5</v>
      </c>
      <c r="G142" s="51">
        <f t="shared" si="34"/>
        <v>6145.7999999999993</v>
      </c>
      <c r="H142" s="51">
        <f t="shared" si="34"/>
        <v>6458.0999999999995</v>
      </c>
      <c r="I142" s="51">
        <f t="shared" si="34"/>
        <v>6894.9</v>
      </c>
      <c r="K142" s="63">
        <f>E142+H142+I142</f>
        <v>19612.299999999996</v>
      </c>
    </row>
    <row r="143" spans="1:11" ht="26.25" x14ac:dyDescent="0.25">
      <c r="A143" s="52" t="s">
        <v>141</v>
      </c>
      <c r="B143" s="52"/>
      <c r="C143" s="53" t="s">
        <v>142</v>
      </c>
      <c r="D143" s="25" t="e">
        <f t="shared" ref="D143:I143" si="35">D148+D144+D146</f>
        <v>#REF!</v>
      </c>
      <c r="E143" s="25">
        <f t="shared" si="35"/>
        <v>6259.2999999999993</v>
      </c>
      <c r="F143" s="25">
        <f t="shared" si="35"/>
        <v>-113.5</v>
      </c>
      <c r="G143" s="25">
        <f t="shared" si="35"/>
        <v>6145.7999999999993</v>
      </c>
      <c r="H143" s="25">
        <f t="shared" si="35"/>
        <v>6458.0999999999995</v>
      </c>
      <c r="I143" s="25">
        <f t="shared" si="35"/>
        <v>6894.9</v>
      </c>
    </row>
    <row r="144" spans="1:11" ht="26.25" x14ac:dyDescent="0.25">
      <c r="A144" s="11" t="s">
        <v>143</v>
      </c>
      <c r="B144" s="11"/>
      <c r="C144" s="5" t="s">
        <v>144</v>
      </c>
      <c r="D144" s="22" t="e">
        <f>#REF!</f>
        <v>#REF!</v>
      </c>
      <c r="E144" s="22">
        <v>105.7</v>
      </c>
      <c r="F144" s="22"/>
      <c r="G144" s="22">
        <v>105.7</v>
      </c>
      <c r="H144" s="22">
        <v>109.9</v>
      </c>
      <c r="I144" s="22">
        <v>114.3</v>
      </c>
    </row>
    <row r="145" spans="1:11" ht="26.25" x14ac:dyDescent="0.25">
      <c r="A145" s="11"/>
      <c r="B145" s="1" t="s">
        <v>658</v>
      </c>
      <c r="C145" s="2" t="s">
        <v>659</v>
      </c>
      <c r="D145" s="22"/>
      <c r="E145" s="22">
        <v>105.7</v>
      </c>
      <c r="F145" s="22"/>
      <c r="G145" s="22">
        <v>105.7</v>
      </c>
      <c r="H145" s="22">
        <v>109.9</v>
      </c>
      <c r="I145" s="22">
        <v>114.3</v>
      </c>
    </row>
    <row r="146" spans="1:11" ht="26.25" x14ac:dyDescent="0.25">
      <c r="A146" s="11" t="s">
        <v>145</v>
      </c>
      <c r="B146" s="11"/>
      <c r="C146" s="5" t="s">
        <v>146</v>
      </c>
      <c r="D146" s="22">
        <v>1870</v>
      </c>
      <c r="E146" s="22">
        <f>1941.7-208.5</f>
        <v>1733.2</v>
      </c>
      <c r="F146" s="22">
        <f>F147</f>
        <v>-113.5</v>
      </c>
      <c r="G146" s="22">
        <f>G147</f>
        <v>1619.7</v>
      </c>
      <c r="H146" s="22">
        <f t="shared" ref="H146:I146" si="36">H147</f>
        <v>1684.5000000000002</v>
      </c>
      <c r="I146" s="22">
        <f t="shared" si="36"/>
        <v>1751.8999999999999</v>
      </c>
    </row>
    <row r="147" spans="1:11" ht="26.25" x14ac:dyDescent="0.25">
      <c r="A147" s="11"/>
      <c r="B147" s="1" t="s">
        <v>658</v>
      </c>
      <c r="C147" s="2" t="s">
        <v>659</v>
      </c>
      <c r="D147" s="22"/>
      <c r="E147" s="443">
        <f>1941.7-208.5</f>
        <v>1733.2</v>
      </c>
      <c r="F147" s="445">
        <v>-113.5</v>
      </c>
      <c r="G147" s="72">
        <f>SUM(E147:F147)</f>
        <v>1619.7</v>
      </c>
      <c r="H147" s="72">
        <f>2019.4-216.8-118.1</f>
        <v>1684.5000000000002</v>
      </c>
      <c r="I147" s="72">
        <f>2100.1-225.5-122.7</f>
        <v>1751.8999999999999</v>
      </c>
    </row>
    <row r="148" spans="1:11" ht="39" x14ac:dyDescent="0.25">
      <c r="A148" s="11" t="s">
        <v>147</v>
      </c>
      <c r="B148" s="11"/>
      <c r="C148" s="5" t="s">
        <v>148</v>
      </c>
      <c r="D148" s="22" t="e">
        <f>#REF!+#REF!+#REF!</f>
        <v>#REF!</v>
      </c>
      <c r="E148" s="22">
        <v>4420.3999999999996</v>
      </c>
      <c r="F148" s="22"/>
      <c r="G148" s="22">
        <v>4420.3999999999996</v>
      </c>
      <c r="H148" s="22">
        <v>4663.7</v>
      </c>
      <c r="I148" s="22">
        <v>5028.7</v>
      </c>
    </row>
    <row r="149" spans="1:11" x14ac:dyDescent="0.25">
      <c r="A149" s="11"/>
      <c r="B149" s="11" t="s">
        <v>564</v>
      </c>
      <c r="C149" s="2" t="s">
        <v>565</v>
      </c>
      <c r="D149" s="22"/>
      <c r="E149" s="22">
        <v>73</v>
      </c>
      <c r="F149" s="22"/>
      <c r="G149" s="22">
        <v>73</v>
      </c>
      <c r="H149" s="22">
        <v>73</v>
      </c>
      <c r="I149" s="22">
        <v>73</v>
      </c>
    </row>
    <row r="150" spans="1:11" ht="26.25" x14ac:dyDescent="0.25">
      <c r="A150" s="11"/>
      <c r="B150" s="1" t="s">
        <v>658</v>
      </c>
      <c r="C150" s="2" t="s">
        <v>659</v>
      </c>
      <c r="D150" s="22"/>
      <c r="E150" s="22">
        <v>4269.5999999999995</v>
      </c>
      <c r="F150" s="22"/>
      <c r="G150" s="22">
        <v>4269.5999999999995</v>
      </c>
      <c r="H150" s="22">
        <v>4512.8999999999996</v>
      </c>
      <c r="I150" s="22">
        <v>4877.8999999999996</v>
      </c>
    </row>
    <row r="151" spans="1:11" x14ac:dyDescent="0.25">
      <c r="A151" s="11"/>
      <c r="B151" s="1" t="s">
        <v>543</v>
      </c>
      <c r="C151" s="2" t="s">
        <v>544</v>
      </c>
      <c r="D151" s="22"/>
      <c r="E151" s="22">
        <v>77.8</v>
      </c>
      <c r="F151" s="22"/>
      <c r="G151" s="22">
        <v>77.8</v>
      </c>
      <c r="H151" s="22">
        <v>77.8</v>
      </c>
      <c r="I151" s="22">
        <v>77.8</v>
      </c>
    </row>
    <row r="152" spans="1:11" x14ac:dyDescent="0.25">
      <c r="A152" s="49" t="s">
        <v>149</v>
      </c>
      <c r="B152" s="49"/>
      <c r="C152" s="50" t="s">
        <v>150</v>
      </c>
      <c r="D152" s="51" t="e">
        <f t="shared" ref="D152:I152" si="37">D153+D158</f>
        <v>#REF!</v>
      </c>
      <c r="E152" s="51">
        <f t="shared" si="37"/>
        <v>18593.8</v>
      </c>
      <c r="F152" s="51"/>
      <c r="G152" s="51">
        <f t="shared" ref="G152" si="38">G153+G158</f>
        <v>18593.8</v>
      </c>
      <c r="H152" s="51">
        <f t="shared" si="37"/>
        <v>18241.600000000002</v>
      </c>
      <c r="I152" s="51">
        <f t="shared" si="37"/>
        <v>18242.8</v>
      </c>
      <c r="K152" s="63">
        <f>E152+H152+I152</f>
        <v>55078.2</v>
      </c>
    </row>
    <row r="153" spans="1:11" ht="26.25" x14ac:dyDescent="0.25">
      <c r="A153" s="52" t="s">
        <v>151</v>
      </c>
      <c r="B153" s="52"/>
      <c r="C153" s="53" t="s">
        <v>152</v>
      </c>
      <c r="D153" s="25" t="e">
        <f>D156+D154</f>
        <v>#REF!</v>
      </c>
      <c r="E153" s="25">
        <f>E156+E154</f>
        <v>240</v>
      </c>
      <c r="F153" s="25"/>
      <c r="G153" s="25">
        <f>G156+G154</f>
        <v>240</v>
      </c>
      <c r="H153" s="25">
        <f>H156+H154</f>
        <v>245.2</v>
      </c>
      <c r="I153" s="25">
        <f>I156+I154</f>
        <v>250.5</v>
      </c>
    </row>
    <row r="154" spans="1:11" x14ac:dyDescent="0.25">
      <c r="A154" s="64" t="s">
        <v>153</v>
      </c>
      <c r="B154" s="64"/>
      <c r="C154" s="65" t="s">
        <v>154</v>
      </c>
      <c r="D154" s="22" t="e">
        <f>#REF!</f>
        <v>#REF!</v>
      </c>
      <c r="E154" s="22">
        <v>133.69999999999999</v>
      </c>
      <c r="F154" s="22"/>
      <c r="G154" s="22">
        <v>133.69999999999999</v>
      </c>
      <c r="H154" s="22">
        <v>134.6</v>
      </c>
      <c r="I154" s="22">
        <v>135.5</v>
      </c>
    </row>
    <row r="155" spans="1:11" ht="26.25" x14ac:dyDescent="0.25">
      <c r="A155" s="64"/>
      <c r="B155" s="6" t="s">
        <v>658</v>
      </c>
      <c r="C155" s="7" t="s">
        <v>659</v>
      </c>
      <c r="D155" s="22"/>
      <c r="E155" s="22">
        <v>133.69999999999999</v>
      </c>
      <c r="F155" s="22"/>
      <c r="G155" s="22">
        <v>133.69999999999999</v>
      </c>
      <c r="H155" s="22">
        <v>134.6</v>
      </c>
      <c r="I155" s="22">
        <v>135.5</v>
      </c>
    </row>
    <row r="156" spans="1:11" ht="26.25" x14ac:dyDescent="0.25">
      <c r="A156" s="11" t="s">
        <v>155</v>
      </c>
      <c r="B156" s="11"/>
      <c r="C156" s="5" t="s">
        <v>156</v>
      </c>
      <c r="D156" s="22" t="e">
        <f>#REF!</f>
        <v>#REF!</v>
      </c>
      <c r="E156" s="22">
        <v>106.3</v>
      </c>
      <c r="F156" s="22"/>
      <c r="G156" s="22">
        <v>106.3</v>
      </c>
      <c r="H156" s="22">
        <v>110.6</v>
      </c>
      <c r="I156" s="22">
        <v>115</v>
      </c>
    </row>
    <row r="157" spans="1:11" ht="26.25" x14ac:dyDescent="0.25">
      <c r="A157" s="11"/>
      <c r="B157" s="6" t="s">
        <v>658</v>
      </c>
      <c r="C157" s="7" t="s">
        <v>659</v>
      </c>
      <c r="D157" s="22"/>
      <c r="E157" s="22">
        <v>106.3</v>
      </c>
      <c r="F157" s="22"/>
      <c r="G157" s="22">
        <v>106.3</v>
      </c>
      <c r="H157" s="22">
        <v>110.6</v>
      </c>
      <c r="I157" s="22">
        <v>115</v>
      </c>
    </row>
    <row r="158" spans="1:11" ht="26.25" x14ac:dyDescent="0.25">
      <c r="A158" s="52" t="s">
        <v>157</v>
      </c>
      <c r="B158" s="52"/>
      <c r="C158" s="53" t="s">
        <v>158</v>
      </c>
      <c r="D158" s="25" t="e">
        <f t="shared" ref="D158:I158" si="39">D159+D162+D165</f>
        <v>#REF!</v>
      </c>
      <c r="E158" s="25">
        <f t="shared" si="39"/>
        <v>18353.8</v>
      </c>
      <c r="F158" s="25">
        <f t="shared" si="39"/>
        <v>0</v>
      </c>
      <c r="G158" s="25">
        <f t="shared" ref="G158" si="40">G159+G162+G165</f>
        <v>18353.8</v>
      </c>
      <c r="H158" s="25">
        <f t="shared" si="39"/>
        <v>17996.400000000001</v>
      </c>
      <c r="I158" s="25">
        <f t="shared" si="39"/>
        <v>17992.3</v>
      </c>
    </row>
    <row r="159" spans="1:11" ht="26.25" x14ac:dyDescent="0.25">
      <c r="A159" s="11" t="s">
        <v>159</v>
      </c>
      <c r="B159" s="11"/>
      <c r="C159" s="5" t="s">
        <v>160</v>
      </c>
      <c r="D159" s="22" t="e">
        <f>#REF!</f>
        <v>#REF!</v>
      </c>
      <c r="E159" s="22">
        <v>6519.7</v>
      </c>
      <c r="F159" s="22">
        <v>0</v>
      </c>
      <c r="G159" s="22">
        <v>6519.7</v>
      </c>
      <c r="H159" s="22">
        <v>6366.8</v>
      </c>
      <c r="I159" s="22">
        <v>6362.7</v>
      </c>
    </row>
    <row r="160" spans="1:11" x14ac:dyDescent="0.25">
      <c r="A160" s="11"/>
      <c r="B160" s="1" t="s">
        <v>564</v>
      </c>
      <c r="C160" s="2" t="s">
        <v>565</v>
      </c>
      <c r="D160" s="22"/>
      <c r="E160" s="22"/>
      <c r="F160" s="445">
        <v>596.79999999999995</v>
      </c>
      <c r="G160" s="22">
        <v>596.79999999999995</v>
      </c>
      <c r="H160" s="22">
        <v>469.9</v>
      </c>
      <c r="I160" s="22">
        <v>393.8</v>
      </c>
    </row>
    <row r="161" spans="1:11" ht="26.25" x14ac:dyDescent="0.25">
      <c r="A161" s="11"/>
      <c r="B161" s="6" t="s">
        <v>658</v>
      </c>
      <c r="C161" s="7" t="s">
        <v>659</v>
      </c>
      <c r="D161" s="22"/>
      <c r="E161" s="22">
        <v>6519.7</v>
      </c>
      <c r="F161" s="445">
        <v>-596.79999999999995</v>
      </c>
      <c r="G161" s="22">
        <v>6519.7</v>
      </c>
      <c r="H161" s="22">
        <f>6366.8-469.9</f>
        <v>5896.9000000000005</v>
      </c>
      <c r="I161" s="22">
        <f>6362.7-393.8</f>
        <v>5968.9</v>
      </c>
    </row>
    <row r="162" spans="1:11" ht="51.75" x14ac:dyDescent="0.25">
      <c r="A162" s="11" t="s">
        <v>161</v>
      </c>
      <c r="B162" s="11"/>
      <c r="C162" s="5" t="s">
        <v>162</v>
      </c>
      <c r="D162" s="22" t="e">
        <f>#REF!+#REF!</f>
        <v>#REF!</v>
      </c>
      <c r="E162" s="22">
        <v>11629.6</v>
      </c>
      <c r="F162" s="72">
        <f>F163+F164</f>
        <v>0</v>
      </c>
      <c r="G162" s="22">
        <v>11629.6</v>
      </c>
      <c r="H162" s="22">
        <v>11629.6</v>
      </c>
      <c r="I162" s="22">
        <v>11629.6</v>
      </c>
    </row>
    <row r="163" spans="1:11" x14ac:dyDescent="0.25">
      <c r="A163" s="11"/>
      <c r="B163" s="1" t="s">
        <v>564</v>
      </c>
      <c r="C163" s="2" t="s">
        <v>565</v>
      </c>
      <c r="D163" s="22"/>
      <c r="E163" s="22">
        <v>4841.8999999999996</v>
      </c>
      <c r="F163" s="446">
        <v>276.78800000000001</v>
      </c>
      <c r="G163" s="439">
        <f>SUM(E163:F163)</f>
        <v>5118.6880000000001</v>
      </c>
      <c r="H163" s="22">
        <v>4841.8999999999996</v>
      </c>
      <c r="I163" s="22">
        <v>4841.8999999999996</v>
      </c>
    </row>
    <row r="164" spans="1:11" ht="26.25" x14ac:dyDescent="0.25">
      <c r="A164" s="11"/>
      <c r="B164" s="1" t="s">
        <v>658</v>
      </c>
      <c r="C164" s="2" t="s">
        <v>659</v>
      </c>
      <c r="D164" s="22"/>
      <c r="E164" s="22">
        <v>6787.7</v>
      </c>
      <c r="F164" s="446">
        <f>-276.8+0.012</f>
        <v>-276.78800000000001</v>
      </c>
      <c r="G164" s="439">
        <f>SUM(E164:F164)</f>
        <v>6510.9120000000003</v>
      </c>
      <c r="H164" s="22">
        <v>6787.7</v>
      </c>
      <c r="I164" s="22">
        <v>6787.7</v>
      </c>
    </row>
    <row r="165" spans="1:11" ht="26.25" x14ac:dyDescent="0.25">
      <c r="A165" s="11" t="s">
        <v>163</v>
      </c>
      <c r="B165" s="11"/>
      <c r="C165" s="5" t="s">
        <v>164</v>
      </c>
      <c r="D165" s="22" t="e">
        <f>#REF!</f>
        <v>#REF!</v>
      </c>
      <c r="E165" s="22">
        <f>E167+E168</f>
        <v>204.5</v>
      </c>
      <c r="F165" s="22"/>
      <c r="G165" s="22">
        <f>G167+G168</f>
        <v>204.5</v>
      </c>
      <c r="H165" s="22">
        <f t="shared" ref="H165:I165" si="41">H167+H168</f>
        <v>0</v>
      </c>
      <c r="I165" s="22">
        <f t="shared" si="41"/>
        <v>0</v>
      </c>
    </row>
    <row r="166" spans="1:11" ht="26.25" x14ac:dyDescent="0.25">
      <c r="A166" s="11"/>
      <c r="B166" s="1" t="s">
        <v>344</v>
      </c>
      <c r="C166" s="2" t="s">
        <v>345</v>
      </c>
      <c r="D166" s="22"/>
      <c r="E166" s="22">
        <f>E167+E168</f>
        <v>204.5</v>
      </c>
      <c r="F166" s="22"/>
      <c r="G166" s="22">
        <f>G167+G168</f>
        <v>204.5</v>
      </c>
      <c r="H166" s="22">
        <v>0</v>
      </c>
      <c r="I166" s="22">
        <v>0</v>
      </c>
    </row>
    <row r="167" spans="1:11" x14ac:dyDescent="0.25">
      <c r="A167" s="11"/>
      <c r="B167" s="11"/>
      <c r="C167" s="5" t="s">
        <v>95</v>
      </c>
      <c r="D167" s="22">
        <v>130.6</v>
      </c>
      <c r="E167" s="22">
        <v>136.30000000000001</v>
      </c>
      <c r="F167" s="22"/>
      <c r="G167" s="22">
        <v>136.30000000000001</v>
      </c>
      <c r="H167" s="22">
        <v>0</v>
      </c>
      <c r="I167" s="22">
        <v>0</v>
      </c>
    </row>
    <row r="168" spans="1:11" x14ac:dyDescent="0.25">
      <c r="A168" s="11"/>
      <c r="B168" s="11"/>
      <c r="C168" s="5" t="s">
        <v>96</v>
      </c>
      <c r="D168" s="22">
        <v>65.3</v>
      </c>
      <c r="E168" s="22">
        <v>68.2</v>
      </c>
      <c r="F168" s="22"/>
      <c r="G168" s="22">
        <v>68.2</v>
      </c>
      <c r="H168" s="22">
        <v>0</v>
      </c>
      <c r="I168" s="22">
        <v>0</v>
      </c>
    </row>
    <row r="169" spans="1:11" ht="26.25" x14ac:dyDescent="0.25">
      <c r="A169" s="49" t="s">
        <v>165</v>
      </c>
      <c r="B169" s="49"/>
      <c r="C169" s="50" t="s">
        <v>166</v>
      </c>
      <c r="D169" s="51" t="e">
        <f t="shared" ref="D169:I169" si="42">D170</f>
        <v>#REF!</v>
      </c>
      <c r="E169" s="51">
        <f t="shared" si="42"/>
        <v>4839.8</v>
      </c>
      <c r="F169" s="447">
        <f t="shared" si="42"/>
        <v>1.9000000000000003E-2</v>
      </c>
      <c r="G169" s="447">
        <f t="shared" si="42"/>
        <v>4839.8189999999995</v>
      </c>
      <c r="H169" s="51">
        <f t="shared" si="42"/>
        <v>5435.3</v>
      </c>
      <c r="I169" s="51">
        <f t="shared" si="42"/>
        <v>8354.5</v>
      </c>
      <c r="K169" s="63">
        <f>E169+H169+I169</f>
        <v>18629.599999999999</v>
      </c>
    </row>
    <row r="170" spans="1:11" ht="39" x14ac:dyDescent="0.25">
      <c r="A170" s="56" t="s">
        <v>167</v>
      </c>
      <c r="B170" s="56"/>
      <c r="C170" s="53" t="s">
        <v>168</v>
      </c>
      <c r="D170" s="25" t="e">
        <f>D171+D177+D175+D179+D181+#REF!+D183</f>
        <v>#REF!</v>
      </c>
      <c r="E170" s="25">
        <f>E171+E177+E175+E179+E181+E183</f>
        <v>4839.8</v>
      </c>
      <c r="F170" s="442">
        <f>F171+F177+F175+F179+F181+F183</f>
        <v>1.9000000000000003E-2</v>
      </c>
      <c r="G170" s="442">
        <f>G171+G177+G175+G179+G181+G183</f>
        <v>4839.8189999999995</v>
      </c>
      <c r="H170" s="25">
        <f t="shared" ref="H170:I170" si="43">H171+H177+H175+H179+H181+H183</f>
        <v>5435.3</v>
      </c>
      <c r="I170" s="25">
        <f t="shared" si="43"/>
        <v>8354.5</v>
      </c>
    </row>
    <row r="171" spans="1:11" ht="26.25" x14ac:dyDescent="0.25">
      <c r="A171" s="11" t="s">
        <v>169</v>
      </c>
      <c r="B171" s="11"/>
      <c r="C171" s="5" t="s">
        <v>170</v>
      </c>
      <c r="D171" s="22" t="e">
        <f>#REF!</f>
        <v>#REF!</v>
      </c>
      <c r="E171" s="443">
        <f>E173+E174</f>
        <v>4839.8</v>
      </c>
      <c r="F171" s="444">
        <f>F173+F174</f>
        <v>1.9000000000000003E-2</v>
      </c>
      <c r="G171" s="439">
        <f>G173+G174</f>
        <v>4839.8189999999995</v>
      </c>
      <c r="H171" s="22">
        <v>0</v>
      </c>
      <c r="I171" s="22">
        <v>0</v>
      </c>
    </row>
    <row r="172" spans="1:11" ht="26.25" x14ac:dyDescent="0.25">
      <c r="A172" s="11"/>
      <c r="B172" s="1" t="s">
        <v>658</v>
      </c>
      <c r="C172" s="2" t="s">
        <v>659</v>
      </c>
      <c r="D172" s="22"/>
      <c r="E172" s="443">
        <v>4839.8</v>
      </c>
      <c r="F172" s="444">
        <f>SUM(F174+F173)</f>
        <v>1.9000000000000003E-2</v>
      </c>
      <c r="G172" s="439">
        <f>SUM(G174+G173)</f>
        <v>4839.8189999999995</v>
      </c>
      <c r="H172" s="22"/>
      <c r="I172" s="22"/>
    </row>
    <row r="173" spans="1:11" x14ac:dyDescent="0.25">
      <c r="A173" s="11"/>
      <c r="B173" s="11"/>
      <c r="C173" s="5" t="s">
        <v>171</v>
      </c>
      <c r="D173" s="22">
        <v>0</v>
      </c>
      <c r="E173" s="443">
        <v>3629.8</v>
      </c>
      <c r="F173" s="446">
        <v>6.4000000000000001E-2</v>
      </c>
      <c r="G173" s="439">
        <f>SUM(E173:F173)</f>
        <v>3629.864</v>
      </c>
      <c r="H173" s="22"/>
      <c r="I173" s="22"/>
    </row>
    <row r="174" spans="1:11" x14ac:dyDescent="0.25">
      <c r="A174" s="11"/>
      <c r="B174" s="11"/>
      <c r="C174" s="5" t="s">
        <v>172</v>
      </c>
      <c r="D174" s="22">
        <v>0</v>
      </c>
      <c r="E174" s="443">
        <v>1210</v>
      </c>
      <c r="F174" s="446">
        <v>-4.4999999999999998E-2</v>
      </c>
      <c r="G174" s="439">
        <f>SUM(E174:F174)</f>
        <v>1209.9549999999999</v>
      </c>
      <c r="H174" s="22"/>
      <c r="I174" s="22"/>
    </row>
    <row r="175" spans="1:11" ht="38.25" x14ac:dyDescent="0.25">
      <c r="A175" s="8" t="s">
        <v>173</v>
      </c>
      <c r="B175" s="8"/>
      <c r="C175" s="9" t="s">
        <v>174</v>
      </c>
      <c r="D175" s="22"/>
      <c r="E175" s="22">
        <v>0</v>
      </c>
      <c r="F175" s="22"/>
      <c r="G175" s="22">
        <v>0</v>
      </c>
      <c r="H175" s="22">
        <v>0</v>
      </c>
      <c r="I175" s="22">
        <v>0</v>
      </c>
    </row>
    <row r="176" spans="1:11" ht="26.25" x14ac:dyDescent="0.25">
      <c r="A176" s="8"/>
      <c r="B176" s="1" t="s">
        <v>658</v>
      </c>
      <c r="C176" s="2" t="s">
        <v>659</v>
      </c>
      <c r="D176" s="22"/>
      <c r="E176" s="22"/>
      <c r="F176" s="22"/>
      <c r="G176" s="22"/>
      <c r="H176" s="22"/>
      <c r="I176" s="22"/>
    </row>
    <row r="177" spans="1:18" ht="51" x14ac:dyDescent="0.25">
      <c r="A177" s="8" t="s">
        <v>175</v>
      </c>
      <c r="B177" s="8"/>
      <c r="C177" s="10" t="s">
        <v>176</v>
      </c>
      <c r="D177" s="66">
        <v>0</v>
      </c>
      <c r="E177" s="66">
        <v>0</v>
      </c>
      <c r="F177" s="66"/>
      <c r="G177" s="66">
        <v>0</v>
      </c>
      <c r="H177" s="66">
        <v>0</v>
      </c>
      <c r="I177" s="66">
        <v>0</v>
      </c>
    </row>
    <row r="178" spans="1:18" ht="26.25" x14ac:dyDescent="0.25">
      <c r="A178" s="8"/>
      <c r="B178" s="1" t="s">
        <v>658</v>
      </c>
      <c r="C178" s="2" t="s">
        <v>659</v>
      </c>
      <c r="D178" s="66"/>
      <c r="E178" s="66"/>
      <c r="F178" s="66"/>
      <c r="G178" s="66"/>
      <c r="H178" s="66"/>
      <c r="I178" s="66"/>
    </row>
    <row r="179" spans="1:18" ht="25.5" x14ac:dyDescent="0.25">
      <c r="A179" s="8" t="s">
        <v>177</v>
      </c>
      <c r="B179" s="8"/>
      <c r="C179" s="10" t="s">
        <v>178</v>
      </c>
      <c r="D179" s="66"/>
      <c r="E179" s="66">
        <v>0</v>
      </c>
      <c r="F179" s="66"/>
      <c r="G179" s="66">
        <v>0</v>
      </c>
      <c r="H179" s="66">
        <v>0</v>
      </c>
      <c r="I179" s="66">
        <v>0</v>
      </c>
      <c r="O179" s="40" t="s">
        <v>179</v>
      </c>
      <c r="P179" s="40" t="s">
        <v>180</v>
      </c>
      <c r="Q179" s="40" t="s">
        <v>181</v>
      </c>
      <c r="R179" s="40" t="s">
        <v>182</v>
      </c>
    </row>
    <row r="180" spans="1:18" ht="26.25" x14ac:dyDescent="0.25">
      <c r="A180" s="8"/>
      <c r="B180" s="1" t="s">
        <v>658</v>
      </c>
      <c r="C180" s="2" t="s">
        <v>659</v>
      </c>
      <c r="D180" s="66"/>
      <c r="E180" s="66"/>
      <c r="F180" s="66"/>
      <c r="G180" s="66"/>
      <c r="H180" s="66"/>
      <c r="I180" s="66"/>
    </row>
    <row r="181" spans="1:18" ht="25.5" x14ac:dyDescent="0.25">
      <c r="A181" s="8" t="s">
        <v>183</v>
      </c>
      <c r="B181" s="8"/>
      <c r="C181" s="10" t="s">
        <v>184</v>
      </c>
      <c r="D181" s="66"/>
      <c r="E181" s="66">
        <v>0</v>
      </c>
      <c r="F181" s="66"/>
      <c r="G181" s="66">
        <v>0</v>
      </c>
      <c r="H181" s="66">
        <v>0</v>
      </c>
      <c r="I181" s="66">
        <v>0</v>
      </c>
      <c r="O181" s="40">
        <v>35201.9</v>
      </c>
    </row>
    <row r="182" spans="1:18" ht="26.25" x14ac:dyDescent="0.25">
      <c r="A182" s="8"/>
      <c r="B182" s="1" t="s">
        <v>658</v>
      </c>
      <c r="C182" s="2" t="s">
        <v>659</v>
      </c>
      <c r="D182" s="66"/>
      <c r="E182" s="66"/>
      <c r="F182" s="66"/>
      <c r="G182" s="66"/>
      <c r="H182" s="66"/>
      <c r="I182" s="66"/>
    </row>
    <row r="183" spans="1:18" ht="25.5" x14ac:dyDescent="0.25">
      <c r="A183" s="11" t="s">
        <v>598</v>
      </c>
      <c r="B183" s="8"/>
      <c r="C183" s="10" t="s">
        <v>186</v>
      </c>
      <c r="D183" s="13" t="e">
        <f>#REF!</f>
        <v>#REF!</v>
      </c>
      <c r="E183" s="13">
        <v>0</v>
      </c>
      <c r="F183" s="13"/>
      <c r="G183" s="13">
        <v>0</v>
      </c>
      <c r="H183" s="13">
        <v>5435.3</v>
      </c>
      <c r="I183" s="13">
        <v>8354.5</v>
      </c>
      <c r="Q183" s="40">
        <v>7925</v>
      </c>
      <c r="R183" s="40">
        <v>22528.5</v>
      </c>
    </row>
    <row r="184" spans="1:18" ht="26.25" x14ac:dyDescent="0.25">
      <c r="A184" s="11"/>
      <c r="B184" s="1" t="s">
        <v>658</v>
      </c>
      <c r="C184" s="2" t="s">
        <v>659</v>
      </c>
      <c r="D184" s="13"/>
      <c r="E184" s="13">
        <v>0</v>
      </c>
      <c r="F184" s="13"/>
      <c r="G184" s="13">
        <v>0</v>
      </c>
      <c r="H184" s="13">
        <v>5435.3</v>
      </c>
      <c r="I184" s="13">
        <v>8354.5</v>
      </c>
    </row>
    <row r="185" spans="1:18" x14ac:dyDescent="0.25">
      <c r="A185" s="11"/>
      <c r="B185" s="11"/>
      <c r="C185" s="5" t="s">
        <v>187</v>
      </c>
      <c r="D185" s="22">
        <v>0</v>
      </c>
      <c r="E185" s="22"/>
      <c r="F185" s="22"/>
      <c r="G185" s="22"/>
      <c r="H185" s="22"/>
      <c r="I185" s="22"/>
      <c r="Q185" s="40">
        <v>53523.9</v>
      </c>
      <c r="R185" s="40">
        <v>20454.3</v>
      </c>
    </row>
    <row r="186" spans="1:18" x14ac:dyDescent="0.25">
      <c r="A186" s="11"/>
      <c r="B186" s="11"/>
      <c r="C186" s="5" t="s">
        <v>188</v>
      </c>
      <c r="D186" s="22">
        <v>0</v>
      </c>
      <c r="E186" s="22"/>
      <c r="F186" s="22"/>
      <c r="G186" s="22"/>
      <c r="H186" s="22"/>
      <c r="I186" s="22"/>
      <c r="O186" s="67">
        <f>SUM(O181:O185)</f>
        <v>35201.9</v>
      </c>
      <c r="P186" s="67">
        <v>30180.400000000001</v>
      </c>
      <c r="Q186" s="67">
        <f>SUM(Q183:Q185)</f>
        <v>61448.9</v>
      </c>
      <c r="R186" s="67">
        <f>SUM(R183:R185)</f>
        <v>42982.8</v>
      </c>
    </row>
    <row r="187" spans="1:18" x14ac:dyDescent="0.25">
      <c r="A187" s="11"/>
      <c r="B187" s="11"/>
      <c r="C187" s="5" t="s">
        <v>121</v>
      </c>
      <c r="D187" s="22">
        <v>0</v>
      </c>
      <c r="E187" s="22"/>
      <c r="F187" s="22"/>
      <c r="G187" s="22"/>
      <c r="H187" s="22">
        <v>5435.3</v>
      </c>
      <c r="I187" s="22">
        <v>8354.5</v>
      </c>
      <c r="O187" s="68">
        <f>O186*8/100</f>
        <v>2816.152</v>
      </c>
      <c r="P187" s="68">
        <f>P186*8/100</f>
        <v>2414.4320000000002</v>
      </c>
      <c r="Q187" s="40">
        <f>Q186*8/100</f>
        <v>4915.9120000000003</v>
      </c>
      <c r="R187" s="40">
        <f>R186*8/100</f>
        <v>3438.6240000000003</v>
      </c>
    </row>
    <row r="188" spans="1:18" ht="26.25" x14ac:dyDescent="0.25">
      <c r="A188" s="49" t="s">
        <v>189</v>
      </c>
      <c r="B188" s="49"/>
      <c r="C188" s="50" t="s">
        <v>190</v>
      </c>
      <c r="D188" s="51" t="e">
        <f t="shared" ref="D188:I189" si="44">D189</f>
        <v>#REF!</v>
      </c>
      <c r="E188" s="51">
        <f t="shared" si="44"/>
        <v>40.200000000000003</v>
      </c>
      <c r="F188" s="51"/>
      <c r="G188" s="51">
        <f t="shared" si="44"/>
        <v>40.200000000000003</v>
      </c>
      <c r="H188" s="51">
        <f t="shared" si="44"/>
        <v>40.799999999999997</v>
      </c>
      <c r="I188" s="51">
        <f t="shared" si="44"/>
        <v>41.4</v>
      </c>
      <c r="K188" s="63">
        <f>E188+H188+I188</f>
        <v>122.4</v>
      </c>
      <c r="O188" s="471">
        <f>O187+P187</f>
        <v>5230.5840000000007</v>
      </c>
      <c r="P188" s="471"/>
      <c r="Q188" s="471">
        <f>Q187+R187</f>
        <v>8354.5360000000001</v>
      </c>
      <c r="R188" s="471"/>
    </row>
    <row r="189" spans="1:18" ht="26.25" x14ac:dyDescent="0.25">
      <c r="A189" s="52" t="s">
        <v>191</v>
      </c>
      <c r="B189" s="52"/>
      <c r="C189" s="53" t="s">
        <v>192</v>
      </c>
      <c r="D189" s="25" t="e">
        <f t="shared" si="44"/>
        <v>#REF!</v>
      </c>
      <c r="E189" s="25">
        <f t="shared" si="44"/>
        <v>40.200000000000003</v>
      </c>
      <c r="F189" s="25"/>
      <c r="G189" s="25">
        <f t="shared" si="44"/>
        <v>40.200000000000003</v>
      </c>
      <c r="H189" s="25">
        <f t="shared" si="44"/>
        <v>40.799999999999997</v>
      </c>
      <c r="I189" s="25">
        <f t="shared" si="44"/>
        <v>41.4</v>
      </c>
      <c r="O189" s="68"/>
    </row>
    <row r="190" spans="1:18" ht="26.25" x14ac:dyDescent="0.25">
      <c r="A190" s="11" t="s">
        <v>193</v>
      </c>
      <c r="B190" s="11"/>
      <c r="C190" s="5" t="s">
        <v>194</v>
      </c>
      <c r="D190" s="22" t="e">
        <f>#REF!</f>
        <v>#REF!</v>
      </c>
      <c r="E190" s="22">
        <v>40.200000000000003</v>
      </c>
      <c r="F190" s="22"/>
      <c r="G190" s="22">
        <v>40.200000000000003</v>
      </c>
      <c r="H190" s="22">
        <v>40.799999999999997</v>
      </c>
      <c r="I190" s="22">
        <v>41.4</v>
      </c>
      <c r="O190" s="68"/>
    </row>
    <row r="191" spans="1:18" ht="26.25" x14ac:dyDescent="0.25">
      <c r="A191" s="11"/>
      <c r="B191" s="1" t="s">
        <v>658</v>
      </c>
      <c r="C191" s="2" t="s">
        <v>659</v>
      </c>
      <c r="D191" s="22"/>
      <c r="E191" s="22">
        <v>40.200000000000003</v>
      </c>
      <c r="F191" s="22"/>
      <c r="G191" s="22">
        <v>40.200000000000003</v>
      </c>
      <c r="H191" s="22">
        <v>40.799999999999997</v>
      </c>
      <c r="I191" s="22">
        <v>41.4</v>
      </c>
      <c r="O191" s="68"/>
    </row>
    <row r="192" spans="1:18" ht="26.25" x14ac:dyDescent="0.25">
      <c r="A192" s="46" t="s">
        <v>195</v>
      </c>
      <c r="B192" s="46"/>
      <c r="C192" s="58" t="s">
        <v>196</v>
      </c>
      <c r="D192" s="48" t="e">
        <f t="shared" ref="D192:I192" si="45">D193+D197+D201+D205</f>
        <v>#REF!</v>
      </c>
      <c r="E192" s="48">
        <f t="shared" si="45"/>
        <v>405.5</v>
      </c>
      <c r="F192" s="48"/>
      <c r="G192" s="48">
        <f t="shared" ref="G192" si="46">G193+G197+G201+G205</f>
        <v>405.5</v>
      </c>
      <c r="H192" s="48">
        <f t="shared" si="45"/>
        <v>421.7</v>
      </c>
      <c r="I192" s="48">
        <f t="shared" si="45"/>
        <v>438.6</v>
      </c>
    </row>
    <row r="193" spans="1:9" ht="26.25" x14ac:dyDescent="0.25">
      <c r="A193" s="69" t="s">
        <v>197</v>
      </c>
      <c r="B193" s="69"/>
      <c r="C193" s="70" t="s">
        <v>198</v>
      </c>
      <c r="D193" s="51" t="e">
        <f t="shared" ref="D193:I194" si="47">D194</f>
        <v>#REF!</v>
      </c>
      <c r="E193" s="51">
        <f t="shared" si="47"/>
        <v>300</v>
      </c>
      <c r="F193" s="51"/>
      <c r="G193" s="51">
        <f t="shared" si="47"/>
        <v>300</v>
      </c>
      <c r="H193" s="51">
        <f t="shared" si="47"/>
        <v>312</v>
      </c>
      <c r="I193" s="51">
        <f t="shared" si="47"/>
        <v>324.5</v>
      </c>
    </row>
    <row r="194" spans="1:9" ht="26.25" x14ac:dyDescent="0.25">
      <c r="A194" s="52" t="s">
        <v>199</v>
      </c>
      <c r="B194" s="52"/>
      <c r="C194" s="53" t="s">
        <v>200</v>
      </c>
      <c r="D194" s="25" t="e">
        <f t="shared" si="47"/>
        <v>#REF!</v>
      </c>
      <c r="E194" s="25">
        <f t="shared" si="47"/>
        <v>300</v>
      </c>
      <c r="F194" s="25"/>
      <c r="G194" s="25">
        <f t="shared" si="47"/>
        <v>300</v>
      </c>
      <c r="H194" s="25">
        <f t="shared" si="47"/>
        <v>312</v>
      </c>
      <c r="I194" s="25">
        <f t="shared" si="47"/>
        <v>324.5</v>
      </c>
    </row>
    <row r="195" spans="1:9" ht="26.25" x14ac:dyDescent="0.25">
      <c r="A195" s="11" t="s">
        <v>201</v>
      </c>
      <c r="B195" s="11"/>
      <c r="C195" s="71" t="s">
        <v>202</v>
      </c>
      <c r="D195" s="22" t="e">
        <f>#REF!</f>
        <v>#REF!</v>
      </c>
      <c r="E195" s="22">
        <v>300</v>
      </c>
      <c r="F195" s="22"/>
      <c r="G195" s="22">
        <v>300</v>
      </c>
      <c r="H195" s="22">
        <v>312</v>
      </c>
      <c r="I195" s="22">
        <v>324.5</v>
      </c>
    </row>
    <row r="196" spans="1:9" ht="26.25" x14ac:dyDescent="0.25">
      <c r="A196" s="11"/>
      <c r="B196" s="1" t="s">
        <v>658</v>
      </c>
      <c r="C196" s="2" t="s">
        <v>659</v>
      </c>
      <c r="D196" s="22"/>
      <c r="E196" s="22">
        <v>300</v>
      </c>
      <c r="F196" s="22"/>
      <c r="G196" s="22">
        <v>300</v>
      </c>
      <c r="H196" s="22">
        <v>312</v>
      </c>
      <c r="I196" s="22">
        <v>324.5</v>
      </c>
    </row>
    <row r="197" spans="1:9" ht="26.25" x14ac:dyDescent="0.25">
      <c r="A197" s="49" t="s">
        <v>203</v>
      </c>
      <c r="B197" s="49"/>
      <c r="C197" s="50" t="s">
        <v>204</v>
      </c>
      <c r="D197" s="51" t="e">
        <f>D198</f>
        <v>#REF!</v>
      </c>
      <c r="E197" s="51">
        <f>E198</f>
        <v>19</v>
      </c>
      <c r="F197" s="51"/>
      <c r="G197" s="51">
        <f>G198</f>
        <v>19</v>
      </c>
      <c r="H197" s="51">
        <f>H198</f>
        <v>19.7</v>
      </c>
      <c r="I197" s="51">
        <f>I198</f>
        <v>20.5</v>
      </c>
    </row>
    <row r="198" spans="1:9" ht="26.25" x14ac:dyDescent="0.25">
      <c r="A198" s="52" t="s">
        <v>205</v>
      </c>
      <c r="B198" s="52"/>
      <c r="C198" s="53" t="s">
        <v>206</v>
      </c>
      <c r="D198" s="25" t="e">
        <f t="shared" ref="D198:I198" si="48">D199</f>
        <v>#REF!</v>
      </c>
      <c r="E198" s="25">
        <f t="shared" si="48"/>
        <v>19</v>
      </c>
      <c r="F198" s="25"/>
      <c r="G198" s="25">
        <f t="shared" si="48"/>
        <v>19</v>
      </c>
      <c r="H198" s="25">
        <f t="shared" si="48"/>
        <v>19.7</v>
      </c>
      <c r="I198" s="25">
        <f t="shared" si="48"/>
        <v>20.5</v>
      </c>
    </row>
    <row r="199" spans="1:9" ht="26.25" x14ac:dyDescent="0.25">
      <c r="A199" s="11" t="s">
        <v>207</v>
      </c>
      <c r="B199" s="11"/>
      <c r="C199" s="5" t="s">
        <v>208</v>
      </c>
      <c r="D199" s="22" t="e">
        <f>#REF!</f>
        <v>#REF!</v>
      </c>
      <c r="E199" s="22">
        <v>19</v>
      </c>
      <c r="F199" s="22"/>
      <c r="G199" s="22">
        <v>19</v>
      </c>
      <c r="H199" s="22">
        <v>19.7</v>
      </c>
      <c r="I199" s="22">
        <v>20.5</v>
      </c>
    </row>
    <row r="200" spans="1:9" ht="26.25" x14ac:dyDescent="0.25">
      <c r="A200" s="11"/>
      <c r="B200" s="1" t="s">
        <v>658</v>
      </c>
      <c r="C200" s="2" t="s">
        <v>659</v>
      </c>
      <c r="D200" s="22"/>
      <c r="E200" s="22">
        <v>19</v>
      </c>
      <c r="F200" s="22"/>
      <c r="G200" s="22">
        <v>19</v>
      </c>
      <c r="H200" s="22">
        <v>19.7</v>
      </c>
      <c r="I200" s="22">
        <v>20.5</v>
      </c>
    </row>
    <row r="201" spans="1:9" ht="26.25" x14ac:dyDescent="0.25">
      <c r="A201" s="49" t="s">
        <v>209</v>
      </c>
      <c r="B201" s="49"/>
      <c r="C201" s="50" t="s">
        <v>210</v>
      </c>
      <c r="D201" s="51" t="e">
        <f t="shared" ref="D201:I206" si="49">D202</f>
        <v>#REF!</v>
      </c>
      <c r="E201" s="51">
        <f t="shared" si="49"/>
        <v>26.5</v>
      </c>
      <c r="F201" s="51"/>
      <c r="G201" s="51">
        <f t="shared" si="49"/>
        <v>26.5</v>
      </c>
      <c r="H201" s="51">
        <f t="shared" si="49"/>
        <v>27.6</v>
      </c>
      <c r="I201" s="51">
        <f t="shared" si="49"/>
        <v>28.7</v>
      </c>
    </row>
    <row r="202" spans="1:9" ht="26.25" x14ac:dyDescent="0.25">
      <c r="A202" s="52" t="s">
        <v>211</v>
      </c>
      <c r="B202" s="52"/>
      <c r="C202" s="53" t="s">
        <v>212</v>
      </c>
      <c r="D202" s="25" t="e">
        <f t="shared" si="49"/>
        <v>#REF!</v>
      </c>
      <c r="E202" s="25">
        <f t="shared" si="49"/>
        <v>26.5</v>
      </c>
      <c r="F202" s="25"/>
      <c r="G202" s="25">
        <f t="shared" si="49"/>
        <v>26.5</v>
      </c>
      <c r="H202" s="25">
        <f t="shared" si="49"/>
        <v>27.6</v>
      </c>
      <c r="I202" s="25">
        <f t="shared" si="49"/>
        <v>28.7</v>
      </c>
    </row>
    <row r="203" spans="1:9" ht="26.25" x14ac:dyDescent="0.25">
      <c r="A203" s="11" t="s">
        <v>213</v>
      </c>
      <c r="B203" s="11"/>
      <c r="C203" s="5" t="s">
        <v>214</v>
      </c>
      <c r="D203" s="72" t="e">
        <f>#REF!</f>
        <v>#REF!</v>
      </c>
      <c r="E203" s="72">
        <v>26.5</v>
      </c>
      <c r="F203" s="72"/>
      <c r="G203" s="72">
        <v>26.5</v>
      </c>
      <c r="H203" s="72">
        <v>27.6</v>
      </c>
      <c r="I203" s="72">
        <v>28.7</v>
      </c>
    </row>
    <row r="204" spans="1:9" ht="26.25" x14ac:dyDescent="0.25">
      <c r="A204" s="11"/>
      <c r="B204" s="1" t="s">
        <v>658</v>
      </c>
      <c r="C204" s="2" t="s">
        <v>659</v>
      </c>
      <c r="D204" s="72"/>
      <c r="E204" s="72">
        <v>26.5</v>
      </c>
      <c r="F204" s="72"/>
      <c r="G204" s="72">
        <v>26.5</v>
      </c>
      <c r="H204" s="72">
        <v>27.6</v>
      </c>
      <c r="I204" s="72">
        <v>28.7</v>
      </c>
    </row>
    <row r="205" spans="1:9" x14ac:dyDescent="0.25">
      <c r="A205" s="49" t="s">
        <v>599</v>
      </c>
      <c r="B205" s="49"/>
      <c r="C205" s="50" t="s">
        <v>215</v>
      </c>
      <c r="D205" s="51" t="e">
        <f t="shared" si="49"/>
        <v>#REF!</v>
      </c>
      <c r="E205" s="51">
        <f t="shared" si="49"/>
        <v>60</v>
      </c>
      <c r="F205" s="51"/>
      <c r="G205" s="51">
        <f t="shared" si="49"/>
        <v>60</v>
      </c>
      <c r="H205" s="51">
        <f t="shared" si="49"/>
        <v>62.4</v>
      </c>
      <c r="I205" s="51">
        <f t="shared" si="49"/>
        <v>64.900000000000006</v>
      </c>
    </row>
    <row r="206" spans="1:9" ht="26.25" x14ac:dyDescent="0.25">
      <c r="A206" s="52" t="s">
        <v>600</v>
      </c>
      <c r="B206" s="52"/>
      <c r="C206" s="53" t="s">
        <v>216</v>
      </c>
      <c r="D206" s="25" t="e">
        <f t="shared" si="49"/>
        <v>#REF!</v>
      </c>
      <c r="E206" s="25">
        <f t="shared" si="49"/>
        <v>60</v>
      </c>
      <c r="F206" s="25"/>
      <c r="G206" s="25">
        <f t="shared" si="49"/>
        <v>60</v>
      </c>
      <c r="H206" s="25">
        <f t="shared" si="49"/>
        <v>62.4</v>
      </c>
      <c r="I206" s="25">
        <f t="shared" si="49"/>
        <v>64.900000000000006</v>
      </c>
    </row>
    <row r="207" spans="1:9" ht="26.25" x14ac:dyDescent="0.25">
      <c r="A207" s="11" t="s">
        <v>1394</v>
      </c>
      <c r="B207" s="11"/>
      <c r="C207" s="5" t="s">
        <v>217</v>
      </c>
      <c r="D207" s="22" t="e">
        <f>#REF!</f>
        <v>#REF!</v>
      </c>
      <c r="E207" s="22">
        <v>60</v>
      </c>
      <c r="F207" s="22"/>
      <c r="G207" s="22">
        <v>60</v>
      </c>
      <c r="H207" s="22">
        <v>62.4</v>
      </c>
      <c r="I207" s="22">
        <v>64.900000000000006</v>
      </c>
    </row>
    <row r="208" spans="1:9" ht="26.25" x14ac:dyDescent="0.25">
      <c r="A208" s="11"/>
      <c r="B208" s="1" t="s">
        <v>658</v>
      </c>
      <c r="C208" s="2" t="s">
        <v>659</v>
      </c>
      <c r="D208" s="22"/>
      <c r="E208" s="22">
        <v>60</v>
      </c>
      <c r="F208" s="22"/>
      <c r="G208" s="22">
        <v>60</v>
      </c>
      <c r="H208" s="22">
        <v>62.4</v>
      </c>
      <c r="I208" s="22">
        <v>64.900000000000006</v>
      </c>
    </row>
    <row r="209" spans="1:9" ht="26.25" x14ac:dyDescent="0.25">
      <c r="A209" s="46" t="s">
        <v>218</v>
      </c>
      <c r="B209" s="46"/>
      <c r="C209" s="58" t="s">
        <v>219</v>
      </c>
      <c r="D209" s="48" t="e">
        <f>D210+D218+D221+#REF!+D229</f>
        <v>#REF!</v>
      </c>
      <c r="E209" s="48">
        <f>E210+E218+E221+E229</f>
        <v>6481.3</v>
      </c>
      <c r="F209" s="441">
        <f>F210+F218+F221+F229</f>
        <v>8942.81</v>
      </c>
      <c r="G209" s="441">
        <f>G210+G218+G221+G229</f>
        <v>15424.11</v>
      </c>
      <c r="H209" s="441">
        <f>H210+H218+H221+H229</f>
        <v>10330.941999999999</v>
      </c>
      <c r="I209" s="48">
        <f t="shared" ref="I209" si="50">I210+I218+I221+I229</f>
        <v>13337.583999999999</v>
      </c>
    </row>
    <row r="210" spans="1:9" x14ac:dyDescent="0.25">
      <c r="A210" s="52" t="s">
        <v>220</v>
      </c>
      <c r="B210" s="52"/>
      <c r="C210" s="53" t="s">
        <v>221</v>
      </c>
      <c r="D210" s="25" t="e">
        <f t="shared" ref="D210:I210" si="51">D213+D211</f>
        <v>#REF!</v>
      </c>
      <c r="E210" s="25">
        <f t="shared" si="51"/>
        <v>1760</v>
      </c>
      <c r="F210" s="442">
        <f>F211</f>
        <v>8942.81</v>
      </c>
      <c r="G210" s="442">
        <f>G213+G211</f>
        <v>10702.81</v>
      </c>
      <c r="H210" s="442">
        <f t="shared" si="51"/>
        <v>7398.1419999999998</v>
      </c>
      <c r="I210" s="25">
        <f t="shared" si="51"/>
        <v>7603.884</v>
      </c>
    </row>
    <row r="211" spans="1:9" x14ac:dyDescent="0.25">
      <c r="A211" s="11" t="s">
        <v>222</v>
      </c>
      <c r="B211" s="11"/>
      <c r="C211" s="5" t="s">
        <v>223</v>
      </c>
      <c r="D211" s="22" t="e">
        <f>#REF!</f>
        <v>#REF!</v>
      </c>
      <c r="E211" s="443"/>
      <c r="F211" s="444">
        <f>F212</f>
        <v>8942.81</v>
      </c>
      <c r="G211" s="439">
        <f>G212</f>
        <v>8942.81</v>
      </c>
      <c r="H211" s="439">
        <f>H212</f>
        <v>7398.1419999999998</v>
      </c>
      <c r="I211" s="439">
        <f>I212</f>
        <v>7603.884</v>
      </c>
    </row>
    <row r="212" spans="1:9" x14ac:dyDescent="0.25">
      <c r="A212" s="11"/>
      <c r="B212" s="1" t="s">
        <v>564</v>
      </c>
      <c r="C212" s="2" t="s">
        <v>565</v>
      </c>
      <c r="D212" s="72">
        <v>16771.900000000001</v>
      </c>
      <c r="E212" s="445"/>
      <c r="F212" s="446">
        <v>8942.81</v>
      </c>
      <c r="G212" s="440">
        <f>F212</f>
        <v>8942.81</v>
      </c>
      <c r="H212" s="440">
        <v>7398.1419999999998</v>
      </c>
      <c r="I212" s="440">
        <v>7603.884</v>
      </c>
    </row>
    <row r="213" spans="1:9" ht="51.75" x14ac:dyDescent="0.25">
      <c r="A213" s="11" t="s">
        <v>225</v>
      </c>
      <c r="B213" s="11"/>
      <c r="C213" s="5" t="s">
        <v>226</v>
      </c>
      <c r="D213" s="22" t="e">
        <f>#REF!</f>
        <v>#REF!</v>
      </c>
      <c r="E213" s="22">
        <v>1760</v>
      </c>
      <c r="F213" s="22"/>
      <c r="G213" s="22">
        <v>1760</v>
      </c>
      <c r="H213" s="22">
        <v>0</v>
      </c>
      <c r="I213" s="22">
        <v>0</v>
      </c>
    </row>
    <row r="214" spans="1:9" x14ac:dyDescent="0.25">
      <c r="A214" s="11"/>
      <c r="B214" s="1" t="s">
        <v>564</v>
      </c>
      <c r="C214" s="2" t="s">
        <v>565</v>
      </c>
      <c r="D214" s="22"/>
      <c r="E214" s="22">
        <v>1760</v>
      </c>
      <c r="F214" s="22"/>
      <c r="G214" s="22">
        <v>1760</v>
      </c>
      <c r="H214" s="22">
        <v>0</v>
      </c>
      <c r="I214" s="22">
        <v>0</v>
      </c>
    </row>
    <row r="215" spans="1:9" x14ac:dyDescent="0.25">
      <c r="A215" s="11"/>
      <c r="B215" s="11"/>
      <c r="C215" s="5" t="s">
        <v>227</v>
      </c>
      <c r="D215" s="22"/>
      <c r="E215" s="22"/>
      <c r="F215" s="22"/>
      <c r="G215" s="22"/>
      <c r="H215" s="22"/>
      <c r="I215" s="22"/>
    </row>
    <row r="216" spans="1:9" x14ac:dyDescent="0.25">
      <c r="A216" s="11"/>
      <c r="B216" s="11"/>
      <c r="C216" s="5" t="s">
        <v>224</v>
      </c>
      <c r="D216" s="22"/>
      <c r="E216" s="22"/>
      <c r="F216" s="22"/>
      <c r="G216" s="22"/>
      <c r="H216" s="22"/>
      <c r="I216" s="22"/>
    </row>
    <row r="217" spans="1:9" x14ac:dyDescent="0.25">
      <c r="A217" s="11"/>
      <c r="B217" s="11"/>
      <c r="C217" s="5" t="s">
        <v>172</v>
      </c>
      <c r="D217" s="22">
        <v>0</v>
      </c>
      <c r="E217" s="22">
        <v>1760</v>
      </c>
      <c r="F217" s="22"/>
      <c r="G217" s="22">
        <v>1760</v>
      </c>
      <c r="H217" s="22">
        <v>0</v>
      </c>
      <c r="I217" s="22">
        <v>0</v>
      </c>
    </row>
    <row r="218" spans="1:9" ht="26.25" x14ac:dyDescent="0.25">
      <c r="A218" s="52" t="s">
        <v>228</v>
      </c>
      <c r="B218" s="52"/>
      <c r="C218" s="53" t="s">
        <v>229</v>
      </c>
      <c r="D218" s="25" t="e">
        <f>D219+#REF!</f>
        <v>#REF!</v>
      </c>
      <c r="E218" s="25">
        <f>E219</f>
        <v>1735</v>
      </c>
      <c r="F218" s="25"/>
      <c r="G218" s="25">
        <f>G219</f>
        <v>1735</v>
      </c>
      <c r="H218" s="25">
        <f t="shared" ref="H218:I218" si="52">H219</f>
        <v>0</v>
      </c>
      <c r="I218" s="25">
        <f t="shared" si="52"/>
        <v>0</v>
      </c>
    </row>
    <row r="219" spans="1:9" ht="39" x14ac:dyDescent="0.25">
      <c r="A219" s="11" t="s">
        <v>230</v>
      </c>
      <c r="B219" s="11"/>
      <c r="C219" s="5" t="s">
        <v>231</v>
      </c>
      <c r="D219" s="22" t="e">
        <f>#REF!+#REF!</f>
        <v>#REF!</v>
      </c>
      <c r="E219" s="22">
        <v>1735</v>
      </c>
      <c r="F219" s="22"/>
      <c r="G219" s="22">
        <v>1735</v>
      </c>
      <c r="H219" s="22">
        <v>0</v>
      </c>
      <c r="I219" s="22">
        <v>0</v>
      </c>
    </row>
    <row r="220" spans="1:9" x14ac:dyDescent="0.25">
      <c r="A220" s="11"/>
      <c r="B220" s="1" t="s">
        <v>564</v>
      </c>
      <c r="C220" s="2" t="s">
        <v>565</v>
      </c>
      <c r="D220" s="22"/>
      <c r="E220" s="22">
        <v>1735</v>
      </c>
      <c r="F220" s="22"/>
      <c r="G220" s="22">
        <v>1735</v>
      </c>
      <c r="H220" s="22">
        <v>0</v>
      </c>
      <c r="I220" s="22">
        <v>0</v>
      </c>
    </row>
    <row r="221" spans="1:9" ht="39" x14ac:dyDescent="0.25">
      <c r="A221" s="52" t="s">
        <v>232</v>
      </c>
      <c r="B221" s="52"/>
      <c r="C221" s="53" t="s">
        <v>233</v>
      </c>
      <c r="D221" s="25" t="e">
        <f>D222+D224+D226</f>
        <v>#REF!</v>
      </c>
      <c r="E221" s="25">
        <f>E222+E224+E226</f>
        <v>2922.1</v>
      </c>
      <c r="F221" s="25"/>
      <c r="G221" s="25">
        <f>G222+G224+G226</f>
        <v>2922.1</v>
      </c>
      <c r="H221" s="25">
        <f>H222+H224+H226</f>
        <v>2932.8</v>
      </c>
      <c r="I221" s="25">
        <f>I222+I224+I226</f>
        <v>5733.7</v>
      </c>
    </row>
    <row r="222" spans="1:9" ht="39" x14ac:dyDescent="0.25">
      <c r="A222" s="11" t="s">
        <v>234</v>
      </c>
      <c r="B222" s="11"/>
      <c r="C222" s="5" t="s">
        <v>235</v>
      </c>
      <c r="D222" s="22" t="e">
        <f>#REF!</f>
        <v>#REF!</v>
      </c>
      <c r="E222" s="22">
        <v>95.1</v>
      </c>
      <c r="F222" s="22"/>
      <c r="G222" s="22">
        <v>95.1</v>
      </c>
      <c r="H222" s="22">
        <v>103</v>
      </c>
      <c r="I222" s="22">
        <v>143</v>
      </c>
    </row>
    <row r="223" spans="1:9" ht="26.25" x14ac:dyDescent="0.25">
      <c r="A223" s="11"/>
      <c r="B223" s="1" t="s">
        <v>344</v>
      </c>
      <c r="C223" s="2" t="s">
        <v>345</v>
      </c>
      <c r="D223" s="22"/>
      <c r="E223" s="22">
        <v>95.1</v>
      </c>
      <c r="F223" s="22"/>
      <c r="G223" s="22">
        <v>95.1</v>
      </c>
      <c r="H223" s="22">
        <v>103</v>
      </c>
      <c r="I223" s="22">
        <v>143</v>
      </c>
    </row>
    <row r="224" spans="1:9" ht="64.5" x14ac:dyDescent="0.25">
      <c r="A224" s="11" t="s">
        <v>236</v>
      </c>
      <c r="B224" s="11"/>
      <c r="C224" s="73" t="s">
        <v>237</v>
      </c>
      <c r="D224" s="22" t="e">
        <f>#REF!</f>
        <v>#REF!</v>
      </c>
      <c r="E224" s="22">
        <v>2760.9</v>
      </c>
      <c r="F224" s="22"/>
      <c r="G224" s="22">
        <v>2760.9</v>
      </c>
      <c r="H224" s="22">
        <v>2760.9</v>
      </c>
      <c r="I224" s="22">
        <v>5521.8</v>
      </c>
    </row>
    <row r="225" spans="1:9" ht="26.25" x14ac:dyDescent="0.25">
      <c r="A225" s="11"/>
      <c r="B225" s="1" t="s">
        <v>371</v>
      </c>
      <c r="C225" s="2" t="s">
        <v>372</v>
      </c>
      <c r="D225" s="22"/>
      <c r="E225" s="22">
        <v>2760.9</v>
      </c>
      <c r="F225" s="22"/>
      <c r="G225" s="22">
        <v>2760.9</v>
      </c>
      <c r="H225" s="22">
        <v>2760.9</v>
      </c>
      <c r="I225" s="22">
        <v>5521.8</v>
      </c>
    </row>
    <row r="226" spans="1:9" ht="51" x14ac:dyDescent="0.25">
      <c r="A226" s="11" t="s">
        <v>238</v>
      </c>
      <c r="B226" s="11"/>
      <c r="C226" s="3" t="s">
        <v>239</v>
      </c>
      <c r="D226" s="22" t="e">
        <f>SUM(#REF!)</f>
        <v>#REF!</v>
      </c>
      <c r="E226" s="465">
        <v>66.099999999999994</v>
      </c>
      <c r="F226" s="465"/>
      <c r="G226" s="465">
        <v>66.099999999999994</v>
      </c>
      <c r="H226" s="465">
        <v>68.900000000000006</v>
      </c>
      <c r="I226" s="465">
        <v>68.900000000000006</v>
      </c>
    </row>
    <row r="227" spans="1:9" ht="51.75" x14ac:dyDescent="0.25">
      <c r="A227" s="11"/>
      <c r="B227" s="11" t="s">
        <v>535</v>
      </c>
      <c r="C227" s="5" t="s">
        <v>536</v>
      </c>
      <c r="D227" s="22"/>
      <c r="E227" s="465">
        <v>47.1</v>
      </c>
      <c r="F227" s="465">
        <v>0.7</v>
      </c>
      <c r="G227" s="465">
        <v>47.8</v>
      </c>
      <c r="H227" s="465">
        <v>47.8</v>
      </c>
      <c r="I227" s="465">
        <v>47.8</v>
      </c>
    </row>
    <row r="228" spans="1:9" ht="26.25" x14ac:dyDescent="0.25">
      <c r="A228" s="11"/>
      <c r="B228" s="11" t="s">
        <v>344</v>
      </c>
      <c r="C228" s="2" t="s">
        <v>345</v>
      </c>
      <c r="D228" s="22"/>
      <c r="E228" s="465">
        <v>19</v>
      </c>
      <c r="F228" s="465">
        <v>-0.7</v>
      </c>
      <c r="G228" s="465">
        <v>18.3</v>
      </c>
      <c r="H228" s="465">
        <v>21.1</v>
      </c>
      <c r="I228" s="465">
        <v>21.1</v>
      </c>
    </row>
    <row r="229" spans="1:9" ht="39" x14ac:dyDescent="0.25">
      <c r="A229" s="52" t="s">
        <v>240</v>
      </c>
      <c r="B229" s="52"/>
      <c r="C229" s="53" t="s">
        <v>1392</v>
      </c>
      <c r="D229" s="25">
        <f t="shared" ref="D229:I229" si="53">D230</f>
        <v>0</v>
      </c>
      <c r="E229" s="25">
        <f t="shared" si="53"/>
        <v>64.2</v>
      </c>
      <c r="F229" s="25"/>
      <c r="G229" s="25">
        <f t="shared" si="53"/>
        <v>64.2</v>
      </c>
      <c r="H229" s="25">
        <f t="shared" si="53"/>
        <v>0</v>
      </c>
      <c r="I229" s="25">
        <f t="shared" si="53"/>
        <v>0</v>
      </c>
    </row>
    <row r="230" spans="1:9" s="62" customFormat="1" ht="26.25" x14ac:dyDescent="0.25">
      <c r="A230" s="11" t="s">
        <v>241</v>
      </c>
      <c r="B230" s="20"/>
      <c r="C230" s="5" t="s">
        <v>1391</v>
      </c>
      <c r="D230" s="22">
        <v>0</v>
      </c>
      <c r="E230" s="22">
        <v>64.2</v>
      </c>
      <c r="F230" s="22"/>
      <c r="G230" s="22">
        <v>64.2</v>
      </c>
      <c r="H230" s="22">
        <v>0</v>
      </c>
      <c r="I230" s="22">
        <v>0</v>
      </c>
    </row>
    <row r="231" spans="1:9" s="62" customFormat="1" ht="26.25" x14ac:dyDescent="0.25">
      <c r="A231" s="11"/>
      <c r="B231" s="1" t="s">
        <v>344</v>
      </c>
      <c r="C231" s="2" t="s">
        <v>345</v>
      </c>
      <c r="D231" s="22"/>
      <c r="E231" s="22">
        <v>64.2</v>
      </c>
      <c r="F231" s="22"/>
      <c r="G231" s="22">
        <v>64.2</v>
      </c>
      <c r="H231" s="22">
        <v>0</v>
      </c>
      <c r="I231" s="22">
        <v>0</v>
      </c>
    </row>
    <row r="232" spans="1:9" s="74" customFormat="1" ht="26.25" x14ac:dyDescent="0.25">
      <c r="A232" s="46" t="s">
        <v>242</v>
      </c>
      <c r="B232" s="46"/>
      <c r="C232" s="58" t="s">
        <v>243</v>
      </c>
      <c r="D232" s="48" t="e">
        <f t="shared" ref="D232:I232" si="54">D233</f>
        <v>#REF!</v>
      </c>
      <c r="E232" s="48">
        <f t="shared" si="54"/>
        <v>3432.4999999999995</v>
      </c>
      <c r="F232" s="48">
        <f t="shared" si="54"/>
        <v>0</v>
      </c>
      <c r="G232" s="48">
        <f t="shared" si="54"/>
        <v>3432.4999999999995</v>
      </c>
      <c r="H232" s="48">
        <f t="shared" si="54"/>
        <v>2818.3999999999996</v>
      </c>
      <c r="I232" s="48">
        <f t="shared" si="54"/>
        <v>2931.16</v>
      </c>
    </row>
    <row r="233" spans="1:9" ht="26.25" x14ac:dyDescent="0.25">
      <c r="A233" s="52" t="s">
        <v>244</v>
      </c>
      <c r="B233" s="52"/>
      <c r="C233" s="53" t="s">
        <v>245</v>
      </c>
      <c r="D233" s="25" t="e">
        <f>D234+D237+D239+D244+D242+#REF!</f>
        <v>#REF!</v>
      </c>
      <c r="E233" s="25">
        <f>E234+E237+E239+E244+E242</f>
        <v>3432.4999999999995</v>
      </c>
      <c r="F233" s="25">
        <f>F234+F237+F239+F244+F242</f>
        <v>0</v>
      </c>
      <c r="G233" s="25">
        <f>G234+G237+G239+G244+G242</f>
        <v>3432.4999999999995</v>
      </c>
      <c r="H233" s="25">
        <f t="shared" ref="H233:I233" si="55">H234+H237+H239+H244+H242</f>
        <v>2818.3999999999996</v>
      </c>
      <c r="I233" s="25">
        <f t="shared" si="55"/>
        <v>2931.16</v>
      </c>
    </row>
    <row r="234" spans="1:9" ht="25.5" x14ac:dyDescent="0.25">
      <c r="A234" s="11" t="s">
        <v>246</v>
      </c>
      <c r="B234" s="11"/>
      <c r="C234" s="37" t="s">
        <v>601</v>
      </c>
      <c r="D234" s="22" t="e">
        <f>#REF!</f>
        <v>#REF!</v>
      </c>
      <c r="E234" s="22">
        <v>946.2</v>
      </c>
      <c r="F234" s="22">
        <v>0</v>
      </c>
      <c r="G234" s="22">
        <v>946.2</v>
      </c>
      <c r="H234" s="22">
        <v>984</v>
      </c>
      <c r="I234" s="22">
        <v>1023.4</v>
      </c>
    </row>
    <row r="235" spans="1:9" ht="26.25" x14ac:dyDescent="0.25">
      <c r="A235" s="11"/>
      <c r="B235" s="1" t="s">
        <v>344</v>
      </c>
      <c r="C235" s="2" t="s">
        <v>345</v>
      </c>
      <c r="D235" s="22"/>
      <c r="E235" s="443">
        <v>946.2</v>
      </c>
      <c r="F235" s="445">
        <v>-48.5</v>
      </c>
      <c r="G235" s="22">
        <f>SUM(E235:F235)</f>
        <v>897.7</v>
      </c>
      <c r="H235" s="22">
        <v>984</v>
      </c>
      <c r="I235" s="22">
        <v>1023.4</v>
      </c>
    </row>
    <row r="236" spans="1:9" x14ac:dyDescent="0.25">
      <c r="A236" s="11"/>
      <c r="B236" s="1" t="s">
        <v>543</v>
      </c>
      <c r="C236" s="5" t="s">
        <v>544</v>
      </c>
      <c r="D236" s="22"/>
      <c r="E236" s="443"/>
      <c r="F236" s="445">
        <v>48.5</v>
      </c>
      <c r="G236" s="22">
        <v>48.5</v>
      </c>
      <c r="H236" s="22">
        <v>0</v>
      </c>
      <c r="I236" s="22">
        <v>0</v>
      </c>
    </row>
    <row r="237" spans="1:9" ht="39" x14ac:dyDescent="0.25">
      <c r="A237" s="11" t="s">
        <v>247</v>
      </c>
      <c r="B237" s="11"/>
      <c r="C237" s="21" t="s">
        <v>248</v>
      </c>
      <c r="D237" s="22" t="e">
        <f>#REF!</f>
        <v>#REF!</v>
      </c>
      <c r="E237" s="22">
        <v>129.69999999999999</v>
      </c>
      <c r="F237" s="72"/>
      <c r="G237" s="22">
        <v>129.69999999999999</v>
      </c>
      <c r="H237" s="22">
        <v>134.9</v>
      </c>
      <c r="I237" s="22">
        <v>140.26</v>
      </c>
    </row>
    <row r="238" spans="1:9" ht="26.25" x14ac:dyDescent="0.25">
      <c r="A238" s="11"/>
      <c r="B238" s="1" t="s">
        <v>344</v>
      </c>
      <c r="C238" s="2" t="s">
        <v>345</v>
      </c>
      <c r="D238" s="22"/>
      <c r="E238" s="22">
        <v>129.69999999999999</v>
      </c>
      <c r="F238" s="22"/>
      <c r="G238" s="22">
        <v>129.69999999999999</v>
      </c>
      <c r="H238" s="22">
        <v>134.9</v>
      </c>
      <c r="I238" s="22">
        <v>140.26</v>
      </c>
    </row>
    <row r="239" spans="1:9" ht="26.25" x14ac:dyDescent="0.25">
      <c r="A239" s="11" t="s">
        <v>249</v>
      </c>
      <c r="B239" s="11"/>
      <c r="C239" s="21" t="s">
        <v>250</v>
      </c>
      <c r="D239" s="22" t="e">
        <f>#REF!+#REF!</f>
        <v>#REF!</v>
      </c>
      <c r="E239" s="22">
        <f>3249-1684.2</f>
        <v>1564.8</v>
      </c>
      <c r="F239" s="22"/>
      <c r="G239" s="22">
        <f>3249-1684.2</f>
        <v>1564.8</v>
      </c>
      <c r="H239" s="22">
        <v>876</v>
      </c>
      <c r="I239" s="22">
        <v>911.1</v>
      </c>
    </row>
    <row r="240" spans="1:9" ht="26.25" x14ac:dyDescent="0.25">
      <c r="A240" s="11"/>
      <c r="B240" s="1" t="s">
        <v>344</v>
      </c>
      <c r="C240" s="2" t="s">
        <v>345</v>
      </c>
      <c r="D240" s="22"/>
      <c r="E240" s="22">
        <v>1123</v>
      </c>
      <c r="F240" s="22"/>
      <c r="G240" s="22">
        <v>1123</v>
      </c>
      <c r="H240" s="22">
        <v>876</v>
      </c>
      <c r="I240" s="22">
        <v>911.1</v>
      </c>
    </row>
    <row r="241" spans="1:9" x14ac:dyDescent="0.25">
      <c r="A241" s="11"/>
      <c r="B241" s="1" t="s">
        <v>564</v>
      </c>
      <c r="C241" s="2" t="s">
        <v>565</v>
      </c>
      <c r="D241" s="22"/>
      <c r="E241" s="22">
        <v>441.8</v>
      </c>
      <c r="F241" s="22"/>
      <c r="G241" s="22">
        <v>441.8</v>
      </c>
      <c r="H241" s="22">
        <v>0</v>
      </c>
      <c r="I241" s="22">
        <v>0</v>
      </c>
    </row>
    <row r="242" spans="1:9" ht="26.25" x14ac:dyDescent="0.25">
      <c r="A242" s="11" t="s">
        <v>251</v>
      </c>
      <c r="B242" s="11"/>
      <c r="C242" s="5" t="s">
        <v>252</v>
      </c>
      <c r="D242" s="22" t="e">
        <f>#REF!</f>
        <v>#REF!</v>
      </c>
      <c r="E242" s="22">
        <v>64.099999999999994</v>
      </c>
      <c r="F242" s="22"/>
      <c r="G242" s="22">
        <v>64.099999999999994</v>
      </c>
      <c r="H242" s="22">
        <v>66.7</v>
      </c>
      <c r="I242" s="22">
        <v>69.3</v>
      </c>
    </row>
    <row r="243" spans="1:9" ht="26.25" x14ac:dyDescent="0.25">
      <c r="A243" s="11"/>
      <c r="B243" s="1" t="s">
        <v>344</v>
      </c>
      <c r="C243" s="2" t="s">
        <v>345</v>
      </c>
      <c r="D243" s="22"/>
      <c r="E243" s="22">
        <v>64.099999999999994</v>
      </c>
      <c r="F243" s="22"/>
      <c r="G243" s="22">
        <v>64.099999999999994</v>
      </c>
      <c r="H243" s="22">
        <v>66.7</v>
      </c>
      <c r="I243" s="22">
        <v>69.3</v>
      </c>
    </row>
    <row r="244" spans="1:9" ht="39" x14ac:dyDescent="0.25">
      <c r="A244" s="11" t="s">
        <v>253</v>
      </c>
      <c r="B244" s="11"/>
      <c r="C244" s="5" t="s">
        <v>254</v>
      </c>
      <c r="D244" s="22" t="e">
        <f>#REF!</f>
        <v>#REF!</v>
      </c>
      <c r="E244" s="22">
        <v>727.7</v>
      </c>
      <c r="F244" s="22"/>
      <c r="G244" s="22">
        <v>727.7</v>
      </c>
      <c r="H244" s="22">
        <v>756.8</v>
      </c>
      <c r="I244" s="22">
        <v>787.1</v>
      </c>
    </row>
    <row r="245" spans="1:9" ht="26.25" x14ac:dyDescent="0.25">
      <c r="A245" s="11"/>
      <c r="B245" s="1" t="s">
        <v>344</v>
      </c>
      <c r="C245" s="2" t="s">
        <v>345</v>
      </c>
      <c r="D245" s="22"/>
      <c r="E245" s="22">
        <v>727.7</v>
      </c>
      <c r="F245" s="22"/>
      <c r="G245" s="22">
        <v>727.7</v>
      </c>
      <c r="H245" s="22">
        <v>756.8</v>
      </c>
      <c r="I245" s="22">
        <v>787.1</v>
      </c>
    </row>
    <row r="246" spans="1:9" ht="39" x14ac:dyDescent="0.25">
      <c r="A246" s="46" t="s">
        <v>256</v>
      </c>
      <c r="B246" s="46"/>
      <c r="C246" s="58" t="s">
        <v>257</v>
      </c>
      <c r="D246" s="48" t="e">
        <f t="shared" ref="D246:I246" si="56">D247+D294+D302</f>
        <v>#REF!</v>
      </c>
      <c r="E246" s="48">
        <f t="shared" si="56"/>
        <v>86606.999999999985</v>
      </c>
      <c r="F246" s="441">
        <f t="shared" si="56"/>
        <v>1.3000000000000005E-2</v>
      </c>
      <c r="G246" s="48">
        <f t="shared" si="56"/>
        <v>86607.012999999992</v>
      </c>
      <c r="H246" s="48">
        <f t="shared" si="56"/>
        <v>82794.3</v>
      </c>
      <c r="I246" s="48">
        <f t="shared" si="56"/>
        <v>82889.400000000009</v>
      </c>
    </row>
    <row r="247" spans="1:9" ht="26.25" x14ac:dyDescent="0.25">
      <c r="A247" s="49" t="s">
        <v>258</v>
      </c>
      <c r="B247" s="49"/>
      <c r="C247" s="50" t="s">
        <v>259</v>
      </c>
      <c r="D247" s="51" t="e">
        <f t="shared" ref="D247:I247" si="57">D248+D251+D256+D259+D262+D267+D270</f>
        <v>#REF!</v>
      </c>
      <c r="E247" s="51">
        <f t="shared" si="57"/>
        <v>84931.199999999983</v>
      </c>
      <c r="F247" s="447">
        <f t="shared" si="57"/>
        <v>1.3000000000000005E-2</v>
      </c>
      <c r="G247" s="51">
        <f t="shared" si="57"/>
        <v>84931.212999999989</v>
      </c>
      <c r="H247" s="51">
        <f t="shared" si="57"/>
        <v>81118.5</v>
      </c>
      <c r="I247" s="51">
        <f t="shared" si="57"/>
        <v>81213.600000000006</v>
      </c>
    </row>
    <row r="248" spans="1:9" ht="39" x14ac:dyDescent="0.25">
      <c r="A248" s="52" t="s">
        <v>260</v>
      </c>
      <c r="B248" s="52"/>
      <c r="C248" s="53" t="s">
        <v>261</v>
      </c>
      <c r="D248" s="25" t="e">
        <f t="shared" ref="D248:I248" si="58">D249</f>
        <v>#REF!</v>
      </c>
      <c r="E248" s="25">
        <f t="shared" si="58"/>
        <v>41891.1</v>
      </c>
      <c r="F248" s="25"/>
      <c r="G248" s="25">
        <f t="shared" si="58"/>
        <v>41891.1</v>
      </c>
      <c r="H248" s="25">
        <f t="shared" si="58"/>
        <v>42099.4</v>
      </c>
      <c r="I248" s="25">
        <f t="shared" si="58"/>
        <v>42316.2</v>
      </c>
    </row>
    <row r="249" spans="1:9" ht="26.25" x14ac:dyDescent="0.25">
      <c r="A249" s="11" t="s">
        <v>262</v>
      </c>
      <c r="B249" s="11"/>
      <c r="C249" s="14" t="s">
        <v>602</v>
      </c>
      <c r="D249" s="22" t="e">
        <f>#REF!</f>
        <v>#REF!</v>
      </c>
      <c r="E249" s="22">
        <f>44018.7-2127.6</f>
        <v>41891.1</v>
      </c>
      <c r="F249" s="22"/>
      <c r="G249" s="22">
        <f>44018.7-2127.6</f>
        <v>41891.1</v>
      </c>
      <c r="H249" s="22">
        <f>45779.4-3680</f>
        <v>42099.4</v>
      </c>
      <c r="I249" s="22">
        <f>47610.6-5294.4</f>
        <v>42316.2</v>
      </c>
    </row>
    <row r="250" spans="1:9" ht="26.25" x14ac:dyDescent="0.25">
      <c r="A250" s="11"/>
      <c r="B250" s="1" t="s">
        <v>658</v>
      </c>
      <c r="C250" s="2" t="s">
        <v>659</v>
      </c>
      <c r="D250" s="22"/>
      <c r="E250" s="22">
        <f>44018.7-2127.6</f>
        <v>41891.1</v>
      </c>
      <c r="F250" s="22"/>
      <c r="G250" s="22">
        <f>44018.7-2127.6</f>
        <v>41891.1</v>
      </c>
      <c r="H250" s="22">
        <f>45779.4-3680</f>
        <v>42099.4</v>
      </c>
      <c r="I250" s="22">
        <f>47610.6-5294.4</f>
        <v>42316.2</v>
      </c>
    </row>
    <row r="251" spans="1:9" ht="30" customHeight="1" x14ac:dyDescent="0.25">
      <c r="A251" s="52" t="s">
        <v>263</v>
      </c>
      <c r="B251" s="52"/>
      <c r="C251" s="53" t="s">
        <v>264</v>
      </c>
      <c r="D251" s="25" t="e">
        <f>D252+D254</f>
        <v>#REF!</v>
      </c>
      <c r="E251" s="25">
        <f>E252+E254</f>
        <v>17389.399999999998</v>
      </c>
      <c r="F251" s="25"/>
      <c r="G251" s="25">
        <f>G252+G254</f>
        <v>17389.399999999998</v>
      </c>
      <c r="H251" s="25">
        <f>H252+H254</f>
        <v>17442.900000000001</v>
      </c>
      <c r="I251" s="25">
        <f>I252+I254</f>
        <v>17498.2</v>
      </c>
    </row>
    <row r="252" spans="1:9" ht="26.25" x14ac:dyDescent="0.25">
      <c r="A252" s="11" t="s">
        <v>265</v>
      </c>
      <c r="B252" s="11"/>
      <c r="C252" s="14" t="s">
        <v>603</v>
      </c>
      <c r="D252" s="22" t="e">
        <f>#REF!</f>
        <v>#REF!</v>
      </c>
      <c r="E252" s="22">
        <f>17101.3-211.9</f>
        <v>16889.399999999998</v>
      </c>
      <c r="F252" s="22"/>
      <c r="G252" s="22">
        <f>17101.3-211.9</f>
        <v>16889.399999999998</v>
      </c>
      <c r="H252" s="22">
        <f>17785.4-842.5</f>
        <v>16942.900000000001</v>
      </c>
      <c r="I252" s="22">
        <f>18496.8-1498.6</f>
        <v>16998.2</v>
      </c>
    </row>
    <row r="253" spans="1:9" ht="26.25" x14ac:dyDescent="0.25">
      <c r="A253" s="11"/>
      <c r="B253" s="1" t="s">
        <v>658</v>
      </c>
      <c r="C253" s="2" t="s">
        <v>659</v>
      </c>
      <c r="D253" s="22"/>
      <c r="E253" s="22">
        <f>17101.3-211.9</f>
        <v>16889.399999999998</v>
      </c>
      <c r="F253" s="22"/>
      <c r="G253" s="22">
        <f>17101.3-211.9</f>
        <v>16889.399999999998</v>
      </c>
      <c r="H253" s="22">
        <f>17785.4-842.5</f>
        <v>16942.900000000001</v>
      </c>
      <c r="I253" s="22">
        <f>18496.8-1498.6</f>
        <v>16998.2</v>
      </c>
    </row>
    <row r="254" spans="1:9" ht="26.25" x14ac:dyDescent="0.25">
      <c r="A254" s="11" t="s">
        <v>266</v>
      </c>
      <c r="B254" s="11"/>
      <c r="C254" s="14" t="s">
        <v>267</v>
      </c>
      <c r="D254" s="22" t="e">
        <f>#REF!</f>
        <v>#REF!</v>
      </c>
      <c r="E254" s="22">
        <v>500</v>
      </c>
      <c r="F254" s="22"/>
      <c r="G254" s="22">
        <v>500</v>
      </c>
      <c r="H254" s="22">
        <v>500</v>
      </c>
      <c r="I254" s="22">
        <v>500</v>
      </c>
    </row>
    <row r="255" spans="1:9" ht="26.25" x14ac:dyDescent="0.25">
      <c r="A255" s="11"/>
      <c r="B255" s="1" t="s">
        <v>658</v>
      </c>
      <c r="C255" s="2" t="s">
        <v>659</v>
      </c>
      <c r="D255" s="22"/>
      <c r="E255" s="22">
        <v>500</v>
      </c>
      <c r="F255" s="22"/>
      <c r="G255" s="22">
        <v>500</v>
      </c>
      <c r="H255" s="22">
        <v>500</v>
      </c>
      <c r="I255" s="22">
        <v>500</v>
      </c>
    </row>
    <row r="256" spans="1:9" ht="26.25" x14ac:dyDescent="0.25">
      <c r="A256" s="52" t="s">
        <v>268</v>
      </c>
      <c r="B256" s="52"/>
      <c r="C256" s="53" t="s">
        <v>269</v>
      </c>
      <c r="D256" s="25" t="e">
        <f t="shared" ref="D256:I256" si="59">D257</f>
        <v>#REF!</v>
      </c>
      <c r="E256" s="25">
        <f t="shared" si="59"/>
        <v>1324.7</v>
      </c>
      <c r="F256" s="25"/>
      <c r="G256" s="25">
        <f t="shared" si="59"/>
        <v>1324.7</v>
      </c>
      <c r="H256" s="25">
        <f t="shared" si="59"/>
        <v>1326.7</v>
      </c>
      <c r="I256" s="25">
        <f t="shared" si="59"/>
        <v>1328.8</v>
      </c>
    </row>
    <row r="257" spans="1:9" x14ac:dyDescent="0.25">
      <c r="A257" s="11" t="s">
        <v>270</v>
      </c>
      <c r="B257" s="11"/>
      <c r="C257" s="14" t="s">
        <v>604</v>
      </c>
      <c r="D257" s="22" t="e">
        <f>#REF!</f>
        <v>#REF!</v>
      </c>
      <c r="E257" s="22">
        <f>1337-12.3</f>
        <v>1324.7</v>
      </c>
      <c r="F257" s="22"/>
      <c r="G257" s="22">
        <f>1337-12.3</f>
        <v>1324.7</v>
      </c>
      <c r="H257" s="22">
        <f>1390.5-63.8</f>
        <v>1326.7</v>
      </c>
      <c r="I257" s="22">
        <f>1446.1-117.3</f>
        <v>1328.8</v>
      </c>
    </row>
    <row r="258" spans="1:9" ht="26.25" x14ac:dyDescent="0.25">
      <c r="A258" s="11"/>
      <c r="B258" s="1" t="s">
        <v>658</v>
      </c>
      <c r="C258" s="2" t="s">
        <v>659</v>
      </c>
      <c r="D258" s="22"/>
      <c r="E258" s="22">
        <f>1337-12.3</f>
        <v>1324.7</v>
      </c>
      <c r="F258" s="22"/>
      <c r="G258" s="22">
        <f>1337-12.3</f>
        <v>1324.7</v>
      </c>
      <c r="H258" s="22">
        <f>1390.5-63.8</f>
        <v>1326.7</v>
      </c>
      <c r="I258" s="22">
        <f>1446.1-117.3</f>
        <v>1328.8</v>
      </c>
    </row>
    <row r="259" spans="1:9" ht="26.25" x14ac:dyDescent="0.25">
      <c r="A259" s="52" t="s">
        <v>271</v>
      </c>
      <c r="B259" s="52"/>
      <c r="C259" s="53" t="s">
        <v>272</v>
      </c>
      <c r="D259" s="25" t="e">
        <f t="shared" ref="D259:I259" si="60">D260</f>
        <v>#REF!</v>
      </c>
      <c r="E259" s="25">
        <f t="shared" si="60"/>
        <v>18484.099999999999</v>
      </c>
      <c r="F259" s="25"/>
      <c r="G259" s="25">
        <f t="shared" si="60"/>
        <v>18484.099999999999</v>
      </c>
      <c r="H259" s="25">
        <f t="shared" si="60"/>
        <v>18504.5</v>
      </c>
      <c r="I259" s="25">
        <f t="shared" si="60"/>
        <v>18525.400000000001</v>
      </c>
    </row>
    <row r="260" spans="1:9" x14ac:dyDescent="0.25">
      <c r="A260" s="11" t="s">
        <v>273</v>
      </c>
      <c r="B260" s="11"/>
      <c r="C260" s="14" t="s">
        <v>605</v>
      </c>
      <c r="D260" s="22" t="e">
        <f>#REF!</f>
        <v>#REF!</v>
      </c>
      <c r="E260" s="22">
        <f>19408.5-924.4</f>
        <v>18484.099999999999</v>
      </c>
      <c r="F260" s="22"/>
      <c r="G260" s="22">
        <f>19408.5-924.4</f>
        <v>18484.099999999999</v>
      </c>
      <c r="H260" s="22">
        <f>20184.8-1680.3</f>
        <v>18504.5</v>
      </c>
      <c r="I260" s="22">
        <f>20992.2-2466.8</f>
        <v>18525.400000000001</v>
      </c>
    </row>
    <row r="261" spans="1:9" ht="26.25" x14ac:dyDescent="0.25">
      <c r="A261" s="11"/>
      <c r="B261" s="1" t="s">
        <v>658</v>
      </c>
      <c r="C261" s="2" t="s">
        <v>659</v>
      </c>
      <c r="D261" s="22"/>
      <c r="E261" s="22">
        <f>19408.5-924.4</f>
        <v>18484.099999999999</v>
      </c>
      <c r="F261" s="22"/>
      <c r="G261" s="22">
        <f>19408.5-924.4</f>
        <v>18484.099999999999</v>
      </c>
      <c r="H261" s="22">
        <f>20184.8-1680.3</f>
        <v>18504.5</v>
      </c>
      <c r="I261" s="22">
        <f>20992.2-2466.8</f>
        <v>18525.400000000001</v>
      </c>
    </row>
    <row r="262" spans="1:9" ht="26.25" x14ac:dyDescent="0.25">
      <c r="A262" s="52" t="s">
        <v>274</v>
      </c>
      <c r="B262" s="56"/>
      <c r="C262" s="53" t="s">
        <v>275</v>
      </c>
      <c r="D262" s="25" t="e">
        <f>D263+D265</f>
        <v>#REF!</v>
      </c>
      <c r="E262" s="25">
        <f>E263+E265</f>
        <v>1465</v>
      </c>
      <c r="F262" s="25"/>
      <c r="G262" s="25">
        <f>G263+G265</f>
        <v>1465</v>
      </c>
      <c r="H262" s="25">
        <f>H263+H265</f>
        <v>1465</v>
      </c>
      <c r="I262" s="25">
        <f>I263+I265</f>
        <v>1465</v>
      </c>
    </row>
    <row r="263" spans="1:9" ht="64.5" x14ac:dyDescent="0.25">
      <c r="A263" s="11" t="s">
        <v>276</v>
      </c>
      <c r="B263" s="11"/>
      <c r="C263" s="5" t="s">
        <v>1384</v>
      </c>
      <c r="D263" s="22" t="e">
        <f>#REF!</f>
        <v>#REF!</v>
      </c>
      <c r="E263" s="22">
        <v>875</v>
      </c>
      <c r="F263" s="22"/>
      <c r="G263" s="22">
        <v>875</v>
      </c>
      <c r="H263" s="22">
        <v>875</v>
      </c>
      <c r="I263" s="22">
        <v>875</v>
      </c>
    </row>
    <row r="264" spans="1:9" ht="26.25" x14ac:dyDescent="0.25">
      <c r="A264" s="11"/>
      <c r="B264" s="1" t="s">
        <v>658</v>
      </c>
      <c r="C264" s="2" t="s">
        <v>659</v>
      </c>
      <c r="D264" s="22"/>
      <c r="E264" s="22">
        <v>875</v>
      </c>
      <c r="F264" s="22"/>
      <c r="G264" s="22">
        <v>875</v>
      </c>
      <c r="H264" s="22">
        <v>875</v>
      </c>
      <c r="I264" s="22">
        <v>875</v>
      </c>
    </row>
    <row r="265" spans="1:9" ht="51.75" x14ac:dyDescent="0.25">
      <c r="A265" s="11" t="s">
        <v>278</v>
      </c>
      <c r="B265" s="11"/>
      <c r="C265" s="5" t="s">
        <v>279</v>
      </c>
      <c r="D265" s="22" t="e">
        <f>#REF!</f>
        <v>#REF!</v>
      </c>
      <c r="E265" s="22">
        <v>590</v>
      </c>
      <c r="F265" s="22"/>
      <c r="G265" s="22">
        <v>590</v>
      </c>
      <c r="H265" s="22">
        <v>590</v>
      </c>
      <c r="I265" s="22">
        <v>590</v>
      </c>
    </row>
    <row r="266" spans="1:9" ht="26.25" x14ac:dyDescent="0.25">
      <c r="A266" s="11"/>
      <c r="B266" s="1" t="s">
        <v>658</v>
      </c>
      <c r="C266" s="2" t="s">
        <v>659</v>
      </c>
      <c r="D266" s="22"/>
      <c r="E266" s="22">
        <v>590</v>
      </c>
      <c r="F266" s="22"/>
      <c r="G266" s="22">
        <v>590</v>
      </c>
      <c r="H266" s="22">
        <v>590</v>
      </c>
      <c r="I266" s="22">
        <v>590</v>
      </c>
    </row>
    <row r="267" spans="1:9" x14ac:dyDescent="0.25">
      <c r="A267" s="52" t="s">
        <v>280</v>
      </c>
      <c r="B267" s="56"/>
      <c r="C267" s="53" t="s">
        <v>281</v>
      </c>
      <c r="D267" s="25" t="e">
        <f>D268+#REF!</f>
        <v>#REF!</v>
      </c>
      <c r="E267" s="25">
        <f>E268</f>
        <v>80</v>
      </c>
      <c r="F267" s="25"/>
      <c r="G267" s="25">
        <f>G268</f>
        <v>80</v>
      </c>
      <c r="H267" s="25">
        <f t="shared" ref="H267:I267" si="61">H268</f>
        <v>80</v>
      </c>
      <c r="I267" s="25">
        <f t="shared" si="61"/>
        <v>80</v>
      </c>
    </row>
    <row r="268" spans="1:9" ht="26.25" x14ac:dyDescent="0.25">
      <c r="A268" s="11" t="s">
        <v>282</v>
      </c>
      <c r="B268" s="11"/>
      <c r="C268" s="5" t="s">
        <v>606</v>
      </c>
      <c r="D268" s="22" t="e">
        <f>#REF!</f>
        <v>#REF!</v>
      </c>
      <c r="E268" s="22">
        <v>80</v>
      </c>
      <c r="F268" s="22"/>
      <c r="G268" s="22">
        <v>80</v>
      </c>
      <c r="H268" s="22">
        <v>80</v>
      </c>
      <c r="I268" s="22">
        <v>80</v>
      </c>
    </row>
    <row r="269" spans="1:9" ht="26.25" x14ac:dyDescent="0.25">
      <c r="A269" s="11"/>
      <c r="B269" s="1" t="s">
        <v>658</v>
      </c>
      <c r="C269" s="2" t="s">
        <v>659</v>
      </c>
      <c r="D269" s="22"/>
      <c r="E269" s="22">
        <v>80</v>
      </c>
      <c r="F269" s="22"/>
      <c r="G269" s="22">
        <v>80</v>
      </c>
      <c r="H269" s="22">
        <v>80</v>
      </c>
      <c r="I269" s="22">
        <v>80</v>
      </c>
    </row>
    <row r="270" spans="1:9" ht="51.75" x14ac:dyDescent="0.25">
      <c r="A270" s="52" t="s">
        <v>283</v>
      </c>
      <c r="B270" s="52"/>
      <c r="C270" s="75" t="s">
        <v>284</v>
      </c>
      <c r="D270" s="25" t="e">
        <f>D271+D275+D281+D285+D289+#REF!+#REF!</f>
        <v>#REF!</v>
      </c>
      <c r="E270" s="25">
        <f>E271+E275+E281+E285+E289</f>
        <v>4296.8999999999996</v>
      </c>
      <c r="F270" s="442">
        <f>F271+F275+F281+F285+F289</f>
        <v>1.3000000000000005E-2</v>
      </c>
      <c r="G270" s="442">
        <f>G271+G275+G281+G285+G289</f>
        <v>4296.9130000000005</v>
      </c>
      <c r="H270" s="25">
        <f t="shared" ref="H270:I270" si="62">H271+H275+H281+H285+H289</f>
        <v>200</v>
      </c>
      <c r="I270" s="25">
        <f t="shared" si="62"/>
        <v>0</v>
      </c>
    </row>
    <row r="271" spans="1:9" ht="51.75" x14ac:dyDescent="0.25">
      <c r="A271" s="11" t="s">
        <v>285</v>
      </c>
      <c r="B271" s="20"/>
      <c r="C271" s="5" t="s">
        <v>286</v>
      </c>
      <c r="D271" s="22" t="e">
        <f>#REF!</f>
        <v>#REF!</v>
      </c>
      <c r="E271" s="443">
        <f>E273+E274</f>
        <v>1428.7</v>
      </c>
      <c r="F271" s="444">
        <f>F273+F274</f>
        <v>1.3000000000000005E-2</v>
      </c>
      <c r="G271" s="439">
        <f>G273+G274</f>
        <v>1428.7130000000002</v>
      </c>
      <c r="H271" s="22">
        <v>0</v>
      </c>
      <c r="I271" s="22">
        <v>0</v>
      </c>
    </row>
    <row r="272" spans="1:9" ht="26.25" x14ac:dyDescent="0.25">
      <c r="A272" s="11"/>
      <c r="B272" s="1" t="s">
        <v>658</v>
      </c>
      <c r="C272" s="2" t="s">
        <v>659</v>
      </c>
      <c r="D272" s="22"/>
      <c r="E272" s="443">
        <v>1428.7</v>
      </c>
      <c r="F272" s="446">
        <f>F273+F274</f>
        <v>1.3000000000000005E-2</v>
      </c>
      <c r="G272" s="439">
        <f>G273+G274</f>
        <v>1428.7130000000002</v>
      </c>
      <c r="H272" s="22">
        <v>0</v>
      </c>
      <c r="I272" s="22">
        <v>0</v>
      </c>
    </row>
    <row r="273" spans="1:11" x14ac:dyDescent="0.25">
      <c r="A273" s="11"/>
      <c r="B273" s="11"/>
      <c r="C273" s="3" t="s">
        <v>224</v>
      </c>
      <c r="D273" s="22">
        <v>0</v>
      </c>
      <c r="E273" s="443">
        <v>1071.5</v>
      </c>
      <c r="F273" s="446">
        <v>3.5000000000000003E-2</v>
      </c>
      <c r="G273" s="439">
        <f>SUM(E273:F273)</f>
        <v>1071.5350000000001</v>
      </c>
      <c r="H273" s="22">
        <v>0</v>
      </c>
      <c r="I273" s="22">
        <v>0</v>
      </c>
      <c r="K273" s="63">
        <f>E273+'[1]МП 02'!G72</f>
        <v>4701.3</v>
      </c>
    </row>
    <row r="274" spans="1:11" x14ac:dyDescent="0.25">
      <c r="A274" s="11"/>
      <c r="B274" s="11"/>
      <c r="C274" s="5" t="s">
        <v>172</v>
      </c>
      <c r="D274" s="22">
        <v>0</v>
      </c>
      <c r="E274" s="443">
        <v>357.2</v>
      </c>
      <c r="F274" s="446">
        <v>-2.1999999999999999E-2</v>
      </c>
      <c r="G274" s="439">
        <f>SUM(E274:F274)</f>
        <v>357.178</v>
      </c>
      <c r="H274" s="22">
        <v>0</v>
      </c>
      <c r="I274" s="22">
        <v>0</v>
      </c>
    </row>
    <row r="275" spans="1:11" ht="25.5" x14ac:dyDescent="0.25">
      <c r="A275" s="26" t="s">
        <v>287</v>
      </c>
      <c r="B275" s="76"/>
      <c r="C275" s="77" t="s">
        <v>288</v>
      </c>
      <c r="D275" s="78" t="e">
        <f>#REF!</f>
        <v>#REF!</v>
      </c>
      <c r="E275" s="78">
        <v>0</v>
      </c>
      <c r="F275" s="78"/>
      <c r="G275" s="78">
        <v>0</v>
      </c>
      <c r="H275" s="78">
        <f>H276+H277</f>
        <v>0</v>
      </c>
      <c r="I275" s="78">
        <v>0</v>
      </c>
    </row>
    <row r="276" spans="1:11" x14ac:dyDescent="0.25">
      <c r="A276" s="76"/>
      <c r="B276" s="76"/>
      <c r="C276" s="3" t="s">
        <v>224</v>
      </c>
      <c r="D276" s="78">
        <v>0</v>
      </c>
      <c r="E276" s="78"/>
      <c r="F276" s="78"/>
      <c r="G276" s="78"/>
      <c r="H276" s="78"/>
      <c r="I276" s="78"/>
    </row>
    <row r="277" spans="1:11" x14ac:dyDescent="0.25">
      <c r="A277" s="76"/>
      <c r="B277" s="76"/>
      <c r="C277" s="5" t="s">
        <v>172</v>
      </c>
      <c r="D277" s="78">
        <v>0</v>
      </c>
      <c r="E277" s="78">
        <v>0</v>
      </c>
      <c r="F277" s="78"/>
      <c r="G277" s="78">
        <v>0</v>
      </c>
      <c r="H277" s="78">
        <v>0</v>
      </c>
      <c r="I277" s="78">
        <v>0</v>
      </c>
    </row>
    <row r="278" spans="1:11" ht="39" x14ac:dyDescent="0.25">
      <c r="A278" s="11" t="s">
        <v>289</v>
      </c>
      <c r="B278" s="76"/>
      <c r="C278" s="5" t="s">
        <v>290</v>
      </c>
      <c r="D278" s="78" t="e">
        <f>D281+D285</f>
        <v>#REF!</v>
      </c>
      <c r="E278" s="78">
        <v>440</v>
      </c>
      <c r="F278" s="78"/>
      <c r="G278" s="78">
        <v>440</v>
      </c>
      <c r="H278" s="78">
        <v>200</v>
      </c>
      <c r="I278" s="78">
        <v>0</v>
      </c>
    </row>
    <row r="279" spans="1:11" ht="26.25" x14ac:dyDescent="0.25">
      <c r="A279" s="11"/>
      <c r="B279" s="1" t="s">
        <v>658</v>
      </c>
      <c r="C279" s="2" t="s">
        <v>659</v>
      </c>
      <c r="D279" s="78"/>
      <c r="E279" s="78">
        <v>440</v>
      </c>
      <c r="F279" s="78"/>
      <c r="G279" s="78">
        <v>440</v>
      </c>
      <c r="H279" s="78">
        <v>200</v>
      </c>
      <c r="I279" s="78">
        <v>0</v>
      </c>
    </row>
    <row r="280" spans="1:11" x14ac:dyDescent="0.25">
      <c r="A280" s="11"/>
      <c r="B280" s="76"/>
      <c r="C280" s="5" t="s">
        <v>291</v>
      </c>
      <c r="D280" s="78"/>
      <c r="E280" s="78"/>
      <c r="F280" s="78"/>
      <c r="G280" s="78"/>
      <c r="H280" s="78"/>
      <c r="I280" s="78"/>
    </row>
    <row r="281" spans="1:11" s="79" customFormat="1" ht="39" x14ac:dyDescent="0.25">
      <c r="A281" s="16"/>
      <c r="B281" s="16"/>
      <c r="C281" s="17" t="s">
        <v>292</v>
      </c>
      <c r="D281" s="18">
        <f t="shared" ref="D281:I281" si="63">D282+D283+D284</f>
        <v>0</v>
      </c>
      <c r="E281" s="18">
        <f t="shared" si="63"/>
        <v>440</v>
      </c>
      <c r="F281" s="18"/>
      <c r="G281" s="18">
        <f t="shared" ref="G281" si="64">G282+G283+G284</f>
        <v>440</v>
      </c>
      <c r="H281" s="18">
        <f t="shared" si="63"/>
        <v>0</v>
      </c>
      <c r="I281" s="18">
        <f t="shared" si="63"/>
        <v>0</v>
      </c>
    </row>
    <row r="282" spans="1:11" x14ac:dyDescent="0.25">
      <c r="A282" s="11"/>
      <c r="B282" s="11"/>
      <c r="C282" s="3" t="s">
        <v>227</v>
      </c>
      <c r="D282" s="78"/>
      <c r="E282" s="78">
        <v>0</v>
      </c>
      <c r="F282" s="78"/>
      <c r="G282" s="78">
        <v>0</v>
      </c>
      <c r="H282" s="78">
        <v>0</v>
      </c>
      <c r="I282" s="78">
        <v>0</v>
      </c>
    </row>
    <row r="283" spans="1:11" x14ac:dyDescent="0.25">
      <c r="A283" s="11"/>
      <c r="B283" s="11"/>
      <c r="C283" s="3" t="s">
        <v>224</v>
      </c>
      <c r="D283" s="78"/>
      <c r="E283" s="78">
        <v>0</v>
      </c>
      <c r="F283" s="78"/>
      <c r="G283" s="78">
        <v>0</v>
      </c>
      <c r="H283" s="78">
        <v>0</v>
      </c>
      <c r="I283" s="78">
        <v>0</v>
      </c>
    </row>
    <row r="284" spans="1:11" x14ac:dyDescent="0.25">
      <c r="A284" s="11"/>
      <c r="B284" s="11"/>
      <c r="C284" s="5" t="s">
        <v>172</v>
      </c>
      <c r="D284" s="78"/>
      <c r="E284" s="78">
        <v>440</v>
      </c>
      <c r="F284" s="78"/>
      <c r="G284" s="78">
        <v>440</v>
      </c>
      <c r="H284" s="78">
        <v>0</v>
      </c>
      <c r="I284" s="78">
        <v>0</v>
      </c>
    </row>
    <row r="285" spans="1:11" s="79" customFormat="1" ht="39" x14ac:dyDescent="0.25">
      <c r="A285" s="16"/>
      <c r="B285" s="16"/>
      <c r="C285" s="17" t="s">
        <v>293</v>
      </c>
      <c r="D285" s="19" t="e">
        <f>#REF!</f>
        <v>#REF!</v>
      </c>
      <c r="E285" s="19">
        <v>0</v>
      </c>
      <c r="F285" s="19"/>
      <c r="G285" s="19">
        <v>0</v>
      </c>
      <c r="H285" s="19">
        <v>200</v>
      </c>
      <c r="I285" s="19">
        <v>0</v>
      </c>
    </row>
    <row r="286" spans="1:11" x14ac:dyDescent="0.25">
      <c r="A286" s="20"/>
      <c r="B286" s="11"/>
      <c r="C286" s="3" t="s">
        <v>227</v>
      </c>
      <c r="D286" s="78"/>
      <c r="E286" s="78">
        <v>0</v>
      </c>
      <c r="F286" s="78"/>
      <c r="G286" s="78">
        <v>0</v>
      </c>
      <c r="H286" s="78">
        <v>0</v>
      </c>
      <c r="I286" s="78">
        <v>0</v>
      </c>
    </row>
    <row r="287" spans="1:11" x14ac:dyDescent="0.25">
      <c r="A287" s="20"/>
      <c r="B287" s="11"/>
      <c r="C287" s="3" t="s">
        <v>224</v>
      </c>
      <c r="D287" s="78"/>
      <c r="E287" s="78">
        <v>0</v>
      </c>
      <c r="F287" s="78"/>
      <c r="G287" s="78">
        <v>0</v>
      </c>
      <c r="H287" s="78">
        <v>0</v>
      </c>
      <c r="I287" s="78">
        <v>0</v>
      </c>
    </row>
    <row r="288" spans="1:11" x14ac:dyDescent="0.25">
      <c r="A288" s="20"/>
      <c r="B288" s="11"/>
      <c r="C288" s="5" t="s">
        <v>172</v>
      </c>
      <c r="D288" s="78"/>
      <c r="E288" s="78">
        <v>0</v>
      </c>
      <c r="F288" s="78"/>
      <c r="G288" s="78">
        <v>0</v>
      </c>
      <c r="H288" s="78">
        <v>200</v>
      </c>
      <c r="I288" s="78">
        <v>0</v>
      </c>
    </row>
    <row r="289" spans="1:9" ht="26.25" x14ac:dyDescent="0.25">
      <c r="A289" s="11" t="s">
        <v>294</v>
      </c>
      <c r="B289" s="20"/>
      <c r="C289" s="21" t="s">
        <v>295</v>
      </c>
      <c r="D289" s="78"/>
      <c r="E289" s="78">
        <v>2428.1999999999998</v>
      </c>
      <c r="F289" s="78"/>
      <c r="G289" s="78">
        <v>2428.1999999999998</v>
      </c>
      <c r="H289" s="78">
        <v>0</v>
      </c>
      <c r="I289" s="78">
        <v>0</v>
      </c>
    </row>
    <row r="290" spans="1:9" ht="26.25" x14ac:dyDescent="0.25">
      <c r="A290" s="11"/>
      <c r="B290" s="1" t="s">
        <v>658</v>
      </c>
      <c r="C290" s="2" t="s">
        <v>659</v>
      </c>
      <c r="D290" s="78"/>
      <c r="E290" s="78">
        <v>2428.1999999999998</v>
      </c>
      <c r="F290" s="78"/>
      <c r="G290" s="78">
        <v>2428.1999999999998</v>
      </c>
      <c r="H290" s="78">
        <v>0</v>
      </c>
      <c r="I290" s="78">
        <v>0</v>
      </c>
    </row>
    <row r="291" spans="1:9" s="81" customFormat="1" ht="25.5" x14ac:dyDescent="0.25">
      <c r="A291" s="23" t="s">
        <v>296</v>
      </c>
      <c r="B291" s="23"/>
      <c r="C291" s="24" t="s">
        <v>297</v>
      </c>
      <c r="D291" s="80"/>
      <c r="E291" s="80">
        <v>0</v>
      </c>
      <c r="F291" s="80"/>
      <c r="G291" s="80">
        <v>0</v>
      </c>
      <c r="H291" s="80">
        <v>0</v>
      </c>
      <c r="I291" s="80">
        <v>0</v>
      </c>
    </row>
    <row r="292" spans="1:9" x14ac:dyDescent="0.25">
      <c r="A292" s="26" t="s">
        <v>298</v>
      </c>
      <c r="B292" s="26"/>
      <c r="C292" s="12" t="s">
        <v>299</v>
      </c>
      <c r="D292" s="78"/>
      <c r="E292" s="78">
        <v>0</v>
      </c>
      <c r="F292" s="78"/>
      <c r="G292" s="78">
        <v>0</v>
      </c>
      <c r="H292" s="78">
        <v>0</v>
      </c>
      <c r="I292" s="78">
        <v>0</v>
      </c>
    </row>
    <row r="293" spans="1:9" ht="25.5" x14ac:dyDescent="0.25">
      <c r="A293" s="27"/>
      <c r="B293" s="26"/>
      <c r="C293" s="3" t="s">
        <v>300</v>
      </c>
      <c r="D293" s="78"/>
      <c r="E293" s="78">
        <v>0</v>
      </c>
      <c r="F293" s="78"/>
      <c r="G293" s="78">
        <v>0</v>
      </c>
      <c r="H293" s="78">
        <v>0</v>
      </c>
      <c r="I293" s="78">
        <v>0</v>
      </c>
    </row>
    <row r="294" spans="1:9" x14ac:dyDescent="0.25">
      <c r="A294" s="49" t="s">
        <v>301</v>
      </c>
      <c r="B294" s="49"/>
      <c r="C294" s="50" t="s">
        <v>302</v>
      </c>
      <c r="D294" s="51" t="e">
        <f>D295</f>
        <v>#REF!</v>
      </c>
      <c r="E294" s="51">
        <f>E295</f>
        <v>307</v>
      </c>
      <c r="F294" s="51"/>
      <c r="G294" s="51">
        <f>G295</f>
        <v>307</v>
      </c>
      <c r="H294" s="51">
        <f>H295</f>
        <v>307</v>
      </c>
      <c r="I294" s="51">
        <f>I295</f>
        <v>307</v>
      </c>
    </row>
    <row r="295" spans="1:9" ht="26.25" x14ac:dyDescent="0.25">
      <c r="A295" s="52" t="s">
        <v>303</v>
      </c>
      <c r="B295" s="52"/>
      <c r="C295" s="53" t="s">
        <v>304</v>
      </c>
      <c r="D295" s="25" t="e">
        <f t="shared" ref="D295:I295" si="65">D296+D298</f>
        <v>#REF!</v>
      </c>
      <c r="E295" s="25">
        <f t="shared" si="65"/>
        <v>307</v>
      </c>
      <c r="F295" s="25"/>
      <c r="G295" s="25">
        <f t="shared" ref="G295" si="66">G296+G298</f>
        <v>307</v>
      </c>
      <c r="H295" s="25">
        <f t="shared" si="65"/>
        <v>307</v>
      </c>
      <c r="I295" s="25">
        <f t="shared" si="65"/>
        <v>307</v>
      </c>
    </row>
    <row r="296" spans="1:9" ht="90" x14ac:dyDescent="0.25">
      <c r="A296" s="11" t="s">
        <v>305</v>
      </c>
      <c r="B296" s="11"/>
      <c r="C296" s="5" t="s">
        <v>306</v>
      </c>
      <c r="D296" s="22" t="e">
        <f>#REF!</f>
        <v>#REF!</v>
      </c>
      <c r="E296" s="22">
        <v>157</v>
      </c>
      <c r="F296" s="22"/>
      <c r="G296" s="22">
        <v>157</v>
      </c>
      <c r="H296" s="22">
        <v>157</v>
      </c>
      <c r="I296" s="22">
        <v>157</v>
      </c>
    </row>
    <row r="297" spans="1:9" ht="26.25" x14ac:dyDescent="0.25">
      <c r="A297" s="11"/>
      <c r="B297" s="1" t="s">
        <v>658</v>
      </c>
      <c r="C297" s="2" t="s">
        <v>659</v>
      </c>
      <c r="D297" s="22"/>
      <c r="E297" s="22">
        <v>157</v>
      </c>
      <c r="F297" s="22"/>
      <c r="G297" s="22">
        <v>157</v>
      </c>
      <c r="H297" s="22">
        <v>157</v>
      </c>
      <c r="I297" s="22">
        <v>157</v>
      </c>
    </row>
    <row r="298" spans="1:9" x14ac:dyDescent="0.25">
      <c r="A298" s="26" t="s">
        <v>307</v>
      </c>
      <c r="B298" s="26"/>
      <c r="C298" s="3" t="s">
        <v>308</v>
      </c>
      <c r="D298" s="22" t="e">
        <f>#REF!</f>
        <v>#REF!</v>
      </c>
      <c r="E298" s="22">
        <v>150</v>
      </c>
      <c r="F298" s="22"/>
      <c r="G298" s="22">
        <v>150</v>
      </c>
      <c r="H298" s="22">
        <v>150</v>
      </c>
      <c r="I298" s="22">
        <v>150</v>
      </c>
    </row>
    <row r="299" spans="1:9" ht="26.25" x14ac:dyDescent="0.25">
      <c r="A299" s="26"/>
      <c r="B299" s="1" t="s">
        <v>658</v>
      </c>
      <c r="C299" s="2" t="s">
        <v>659</v>
      </c>
      <c r="D299" s="22"/>
      <c r="E299" s="22">
        <v>150</v>
      </c>
      <c r="F299" s="22"/>
      <c r="G299" s="22">
        <v>150</v>
      </c>
      <c r="H299" s="22">
        <v>150</v>
      </c>
      <c r="I299" s="22">
        <v>150</v>
      </c>
    </row>
    <row r="300" spans="1:9" x14ac:dyDescent="0.25">
      <c r="A300" s="11"/>
      <c r="B300" s="11"/>
      <c r="C300" s="3" t="s">
        <v>224</v>
      </c>
      <c r="D300" s="22"/>
      <c r="E300" s="22">
        <v>0</v>
      </c>
      <c r="F300" s="22"/>
      <c r="G300" s="22">
        <v>0</v>
      </c>
      <c r="H300" s="22">
        <v>0</v>
      </c>
      <c r="I300" s="22">
        <v>0</v>
      </c>
    </row>
    <row r="301" spans="1:9" x14ac:dyDescent="0.25">
      <c r="A301" s="11"/>
      <c r="B301" s="11"/>
      <c r="C301" s="3" t="s">
        <v>172</v>
      </c>
      <c r="D301" s="22"/>
      <c r="E301" s="22">
        <v>150</v>
      </c>
      <c r="F301" s="22"/>
      <c r="G301" s="22">
        <v>150</v>
      </c>
      <c r="H301" s="22">
        <v>150</v>
      </c>
      <c r="I301" s="22">
        <v>150</v>
      </c>
    </row>
    <row r="302" spans="1:9" x14ac:dyDescent="0.25">
      <c r="A302" s="49" t="s">
        <v>309</v>
      </c>
      <c r="B302" s="49"/>
      <c r="C302" s="50" t="s">
        <v>310</v>
      </c>
      <c r="D302" s="51" t="e">
        <f t="shared" ref="D302:I303" si="67">D303</f>
        <v>#REF!</v>
      </c>
      <c r="E302" s="51">
        <f t="shared" si="67"/>
        <v>1368.8</v>
      </c>
      <c r="F302" s="51"/>
      <c r="G302" s="51">
        <f t="shared" si="67"/>
        <v>1368.8</v>
      </c>
      <c r="H302" s="51">
        <f t="shared" si="67"/>
        <v>1368.8</v>
      </c>
      <c r="I302" s="51">
        <f t="shared" si="67"/>
        <v>1368.8</v>
      </c>
    </row>
    <row r="303" spans="1:9" ht="51.75" x14ac:dyDescent="0.25">
      <c r="A303" s="52" t="s">
        <v>311</v>
      </c>
      <c r="B303" s="52"/>
      <c r="C303" s="53" t="s">
        <v>312</v>
      </c>
      <c r="D303" s="25" t="e">
        <f t="shared" si="67"/>
        <v>#REF!</v>
      </c>
      <c r="E303" s="25">
        <f t="shared" si="67"/>
        <v>1368.8</v>
      </c>
      <c r="F303" s="25"/>
      <c r="G303" s="25">
        <f t="shared" si="67"/>
        <v>1368.8</v>
      </c>
      <c r="H303" s="25">
        <f t="shared" si="67"/>
        <v>1368.8</v>
      </c>
      <c r="I303" s="25">
        <f t="shared" si="67"/>
        <v>1368.8</v>
      </c>
    </row>
    <row r="304" spans="1:9" ht="26.25" x14ac:dyDescent="0.25">
      <c r="A304" s="11" t="s">
        <v>313</v>
      </c>
      <c r="B304" s="11"/>
      <c r="C304" s="5" t="s">
        <v>1385</v>
      </c>
      <c r="D304" s="22" t="e">
        <f>#REF!</f>
        <v>#REF!</v>
      </c>
      <c r="E304" s="22">
        <f>1396.2-27.4</f>
        <v>1368.8</v>
      </c>
      <c r="F304" s="22"/>
      <c r="G304" s="22">
        <f>1396.2-27.4</f>
        <v>1368.8</v>
      </c>
      <c r="H304" s="22">
        <f>1452-83.2</f>
        <v>1368.8</v>
      </c>
      <c r="I304" s="22">
        <f>1510.1-141.3</f>
        <v>1368.8</v>
      </c>
    </row>
    <row r="305" spans="1:9" ht="26.25" x14ac:dyDescent="0.25">
      <c r="A305" s="11"/>
      <c r="B305" s="1" t="s">
        <v>658</v>
      </c>
      <c r="C305" s="2" t="s">
        <v>659</v>
      </c>
      <c r="D305" s="22"/>
      <c r="E305" s="22">
        <f>1396.2-27.4</f>
        <v>1368.8</v>
      </c>
      <c r="F305" s="22"/>
      <c r="G305" s="22">
        <f>1396.2-27.4</f>
        <v>1368.8</v>
      </c>
      <c r="H305" s="22">
        <f>1452-83.2</f>
        <v>1368.8</v>
      </c>
      <c r="I305" s="22">
        <f>1510.1-141.3</f>
        <v>1368.8</v>
      </c>
    </row>
    <row r="306" spans="1:9" ht="26.25" x14ac:dyDescent="0.25">
      <c r="A306" s="46" t="s">
        <v>314</v>
      </c>
      <c r="B306" s="46"/>
      <c r="C306" s="58" t="s">
        <v>315</v>
      </c>
      <c r="D306" s="48" t="e">
        <f>D307+D314</f>
        <v>#REF!</v>
      </c>
      <c r="E306" s="48">
        <f>E307+E314+E320+E327</f>
        <v>2660.8</v>
      </c>
      <c r="F306" s="441">
        <f>F307+F314</f>
        <v>2774.1120000000001</v>
      </c>
      <c r="G306" s="441">
        <f>G307+G314+G320+G327</f>
        <v>5434.9120000000003</v>
      </c>
      <c r="H306" s="48">
        <f>H307+H314+H320+H327</f>
        <v>3592.8</v>
      </c>
      <c r="I306" s="48">
        <f>I307+I314+I320+I327</f>
        <v>6760.8</v>
      </c>
    </row>
    <row r="307" spans="1:9" ht="39" x14ac:dyDescent="0.25">
      <c r="A307" s="52" t="s">
        <v>316</v>
      </c>
      <c r="B307" s="56"/>
      <c r="C307" s="53" t="s">
        <v>317</v>
      </c>
      <c r="D307" s="25" t="e">
        <f t="shared" ref="D307:I307" si="68">D308</f>
        <v>#REF!</v>
      </c>
      <c r="E307" s="25">
        <f t="shared" si="68"/>
        <v>1760.8</v>
      </c>
      <c r="F307" s="442">
        <f>F310+F308</f>
        <v>174.11200000000002</v>
      </c>
      <c r="G307" s="442">
        <f>G308+G310</f>
        <v>1934.912</v>
      </c>
      <c r="H307" s="25">
        <f t="shared" si="68"/>
        <v>1760.8</v>
      </c>
      <c r="I307" s="25">
        <f t="shared" si="68"/>
        <v>1760.8</v>
      </c>
    </row>
    <row r="308" spans="1:9" ht="51.75" x14ac:dyDescent="0.25">
      <c r="A308" s="11" t="s">
        <v>318</v>
      </c>
      <c r="B308" s="11"/>
      <c r="C308" s="5" t="s">
        <v>319</v>
      </c>
      <c r="D308" s="22" t="e">
        <f>#REF!</f>
        <v>#REF!</v>
      </c>
      <c r="E308" s="22">
        <v>1760.8</v>
      </c>
      <c r="F308" s="72">
        <f>F309</f>
        <v>73.2</v>
      </c>
      <c r="G308" s="22">
        <f>G309</f>
        <v>1834</v>
      </c>
      <c r="H308" s="22">
        <v>1760.8</v>
      </c>
      <c r="I308" s="22">
        <v>1760.8</v>
      </c>
    </row>
    <row r="309" spans="1:9" ht="26.25" x14ac:dyDescent="0.25">
      <c r="A309" s="11"/>
      <c r="B309" s="1" t="s">
        <v>658</v>
      </c>
      <c r="C309" s="2" t="s">
        <v>659</v>
      </c>
      <c r="D309" s="22"/>
      <c r="E309" s="22">
        <v>1760.8</v>
      </c>
      <c r="F309" s="72">
        <v>73.2</v>
      </c>
      <c r="G309" s="22">
        <f>SUM(E309:F309)</f>
        <v>1834</v>
      </c>
      <c r="H309" s="22">
        <v>1760.8</v>
      </c>
      <c r="I309" s="22">
        <v>1760.8</v>
      </c>
    </row>
    <row r="310" spans="1:9" x14ac:dyDescent="0.25">
      <c r="A310" s="11" t="s">
        <v>1398</v>
      </c>
      <c r="B310" s="11"/>
      <c r="C310" s="5" t="s">
        <v>1399</v>
      </c>
      <c r="D310" s="22"/>
      <c r="E310" s="22"/>
      <c r="F310" s="446">
        <f t="shared" ref="F310:G312" si="69">F311</f>
        <v>100.91200000000001</v>
      </c>
      <c r="G310" s="439">
        <f t="shared" si="69"/>
        <v>100.91200000000001</v>
      </c>
      <c r="H310" s="22">
        <v>0</v>
      </c>
      <c r="I310" s="22">
        <v>0</v>
      </c>
    </row>
    <row r="311" spans="1:9" ht="26.25" x14ac:dyDescent="0.25">
      <c r="A311" s="11"/>
      <c r="B311" s="11" t="s">
        <v>658</v>
      </c>
      <c r="C311" s="5" t="s">
        <v>659</v>
      </c>
      <c r="D311" s="22"/>
      <c r="E311" s="22"/>
      <c r="F311" s="446">
        <f t="shared" si="69"/>
        <v>100.91200000000001</v>
      </c>
      <c r="G311" s="439">
        <f t="shared" si="69"/>
        <v>100.91200000000001</v>
      </c>
      <c r="H311" s="22">
        <v>0</v>
      </c>
      <c r="I311" s="22">
        <v>0</v>
      </c>
    </row>
    <row r="312" spans="1:9" x14ac:dyDescent="0.25">
      <c r="A312" s="11"/>
      <c r="B312" s="11"/>
      <c r="C312" s="3" t="s">
        <v>224</v>
      </c>
      <c r="D312" s="22"/>
      <c r="E312" s="22"/>
      <c r="F312" s="446">
        <f t="shared" si="69"/>
        <v>100.91200000000001</v>
      </c>
      <c r="G312" s="439">
        <f t="shared" si="69"/>
        <v>100.91200000000001</v>
      </c>
      <c r="H312" s="22">
        <v>0</v>
      </c>
      <c r="I312" s="22">
        <v>0</v>
      </c>
    </row>
    <row r="313" spans="1:9" x14ac:dyDescent="0.25">
      <c r="A313" s="11"/>
      <c r="B313" s="11"/>
      <c r="C313" s="3" t="s">
        <v>172</v>
      </c>
      <c r="D313" s="22"/>
      <c r="E313" s="22"/>
      <c r="F313" s="446">
        <v>100.91200000000001</v>
      </c>
      <c r="G313" s="439">
        <v>100.91200000000001</v>
      </c>
      <c r="H313" s="22">
        <v>0</v>
      </c>
      <c r="I313" s="22">
        <v>0</v>
      </c>
    </row>
    <row r="314" spans="1:9" ht="39" x14ac:dyDescent="0.25">
      <c r="A314" s="52" t="s">
        <v>320</v>
      </c>
      <c r="B314" s="52"/>
      <c r="C314" s="53" t="s">
        <v>321</v>
      </c>
      <c r="D314" s="25" t="e">
        <f>D315+#REF!+D321+D325+D328</f>
        <v>#REF!</v>
      </c>
      <c r="E314" s="25">
        <f t="shared" ref="E314:G315" si="70">E315</f>
        <v>900</v>
      </c>
      <c r="F314" s="25">
        <f t="shared" si="70"/>
        <v>2600</v>
      </c>
      <c r="G314" s="25">
        <f t="shared" si="70"/>
        <v>3500</v>
      </c>
      <c r="H314" s="25">
        <f t="shared" ref="H314:I315" si="71">H315</f>
        <v>1000</v>
      </c>
      <c r="I314" s="25">
        <f t="shared" si="71"/>
        <v>0</v>
      </c>
    </row>
    <row r="315" spans="1:9" ht="39" x14ac:dyDescent="0.25">
      <c r="A315" s="11" t="s">
        <v>322</v>
      </c>
      <c r="B315" s="11"/>
      <c r="C315" s="5" t="s">
        <v>323</v>
      </c>
      <c r="D315" s="22" t="e">
        <f>#REF!</f>
        <v>#REF!</v>
      </c>
      <c r="E315" s="443">
        <f t="shared" si="70"/>
        <v>900</v>
      </c>
      <c r="F315" s="443">
        <f t="shared" si="70"/>
        <v>2600</v>
      </c>
      <c r="G315" s="22">
        <f t="shared" si="70"/>
        <v>3500</v>
      </c>
      <c r="H315" s="22">
        <f t="shared" si="71"/>
        <v>1000</v>
      </c>
      <c r="I315" s="22">
        <f t="shared" si="71"/>
        <v>0</v>
      </c>
    </row>
    <row r="316" spans="1:9" ht="26.25" x14ac:dyDescent="0.25">
      <c r="A316" s="11"/>
      <c r="B316" s="1" t="s">
        <v>658</v>
      </c>
      <c r="C316" s="2" t="s">
        <v>659</v>
      </c>
      <c r="D316" s="22"/>
      <c r="E316" s="443">
        <f>E317+E318</f>
        <v>900</v>
      </c>
      <c r="F316" s="445">
        <f>F317+F318</f>
        <v>2600</v>
      </c>
      <c r="G316" s="22">
        <f>G317+G318</f>
        <v>3500</v>
      </c>
      <c r="H316" s="22">
        <f>H317+H318</f>
        <v>1000</v>
      </c>
      <c r="I316" s="22">
        <v>0</v>
      </c>
    </row>
    <row r="317" spans="1:9" x14ac:dyDescent="0.25">
      <c r="A317" s="11"/>
      <c r="B317" s="11"/>
      <c r="C317" s="5" t="s">
        <v>188</v>
      </c>
      <c r="D317" s="72"/>
      <c r="E317" s="445"/>
      <c r="F317" s="445">
        <v>2625</v>
      </c>
      <c r="G317" s="72">
        <f>SUM(F317)</f>
        <v>2625</v>
      </c>
      <c r="H317" s="72"/>
      <c r="I317" s="72">
        <v>0</v>
      </c>
    </row>
    <row r="318" spans="1:9" x14ac:dyDescent="0.25">
      <c r="A318" s="11"/>
      <c r="B318" s="11"/>
      <c r="C318" s="5" t="s">
        <v>121</v>
      </c>
      <c r="D318" s="22">
        <v>118.2</v>
      </c>
      <c r="E318" s="443">
        <v>900</v>
      </c>
      <c r="F318" s="445">
        <v>-25</v>
      </c>
      <c r="G318" s="22">
        <f>SUM(E318:F318)</f>
        <v>875</v>
      </c>
      <c r="H318" s="22">
        <v>1000</v>
      </c>
      <c r="I318" s="22">
        <v>0</v>
      </c>
    </row>
    <row r="319" spans="1:9" ht="14.45" hidden="1" x14ac:dyDescent="0.3">
      <c r="A319" s="11"/>
      <c r="B319" s="11"/>
      <c r="C319" s="5"/>
      <c r="D319" s="22"/>
      <c r="E319" s="22"/>
      <c r="F319" s="22"/>
      <c r="G319" s="22"/>
      <c r="H319" s="22"/>
      <c r="I319" s="22"/>
    </row>
    <row r="320" spans="1:9" ht="26.25" x14ac:dyDescent="0.25">
      <c r="A320" s="105" t="s">
        <v>607</v>
      </c>
      <c r="B320" s="105"/>
      <c r="C320" s="105" t="s">
        <v>608</v>
      </c>
      <c r="D320" s="105"/>
      <c r="E320" s="52">
        <f>E321</f>
        <v>0</v>
      </c>
      <c r="F320" s="52"/>
      <c r="G320" s="52">
        <f>G321</f>
        <v>0</v>
      </c>
      <c r="H320" s="106">
        <f>H325+H321</f>
        <v>832</v>
      </c>
      <c r="I320" s="106">
        <f>I325+I321</f>
        <v>5000</v>
      </c>
    </row>
    <row r="321" spans="1:9" ht="26.25" x14ac:dyDescent="0.25">
      <c r="A321" s="11" t="s">
        <v>613</v>
      </c>
      <c r="B321" s="11"/>
      <c r="C321" s="5" t="s">
        <v>324</v>
      </c>
      <c r="D321" s="22" t="e">
        <f>#REF!</f>
        <v>#REF!</v>
      </c>
      <c r="E321" s="22">
        <v>0</v>
      </c>
      <c r="F321" s="22"/>
      <c r="G321" s="22">
        <v>0</v>
      </c>
      <c r="H321" s="22">
        <v>0</v>
      </c>
      <c r="I321" s="22">
        <v>5000</v>
      </c>
    </row>
    <row r="322" spans="1:9" ht="26.25" x14ac:dyDescent="0.25">
      <c r="A322" s="11"/>
      <c r="B322" s="1" t="s">
        <v>658</v>
      </c>
      <c r="C322" s="2" t="s">
        <v>659</v>
      </c>
      <c r="D322" s="22"/>
      <c r="E322" s="22">
        <v>0</v>
      </c>
      <c r="F322" s="22"/>
      <c r="G322" s="22">
        <v>0</v>
      </c>
      <c r="H322" s="22">
        <v>0</v>
      </c>
      <c r="I322" s="22">
        <v>5000</v>
      </c>
    </row>
    <row r="323" spans="1:9" x14ac:dyDescent="0.25">
      <c r="A323" s="11"/>
      <c r="B323" s="11"/>
      <c r="C323" s="5" t="s">
        <v>188</v>
      </c>
      <c r="D323" s="72"/>
      <c r="E323" s="72">
        <v>0</v>
      </c>
      <c r="F323" s="72"/>
      <c r="G323" s="72">
        <v>0</v>
      </c>
      <c r="H323" s="72">
        <v>0</v>
      </c>
      <c r="I323" s="72">
        <v>0</v>
      </c>
    </row>
    <row r="324" spans="1:9" x14ac:dyDescent="0.25">
      <c r="A324" s="11"/>
      <c r="B324" s="11"/>
      <c r="C324" s="5" t="s">
        <v>121</v>
      </c>
      <c r="D324" s="22">
        <v>118.2</v>
      </c>
      <c r="E324" s="22">
        <v>0</v>
      </c>
      <c r="F324" s="22"/>
      <c r="G324" s="22">
        <v>0</v>
      </c>
      <c r="H324" s="22">
        <v>0</v>
      </c>
      <c r="I324" s="22">
        <v>5000</v>
      </c>
    </row>
    <row r="325" spans="1:9" ht="26.25" x14ac:dyDescent="0.25">
      <c r="A325" s="11" t="s">
        <v>614</v>
      </c>
      <c r="B325" s="11"/>
      <c r="C325" s="5" t="s">
        <v>325</v>
      </c>
      <c r="D325" s="22" t="e">
        <f>#REF!</f>
        <v>#REF!</v>
      </c>
      <c r="E325" s="22">
        <v>0</v>
      </c>
      <c r="F325" s="22"/>
      <c r="G325" s="22">
        <v>0</v>
      </c>
      <c r="H325" s="22">
        <v>832</v>
      </c>
      <c r="I325" s="22">
        <v>0</v>
      </c>
    </row>
    <row r="326" spans="1:9" ht="26.25" x14ac:dyDescent="0.25">
      <c r="A326" s="11"/>
      <c r="B326" s="1" t="s">
        <v>658</v>
      </c>
      <c r="C326" s="2" t="s">
        <v>659</v>
      </c>
      <c r="D326" s="22"/>
      <c r="E326" s="22">
        <v>0</v>
      </c>
      <c r="F326" s="22"/>
      <c r="G326" s="22">
        <v>0</v>
      </c>
      <c r="H326" s="22">
        <v>832</v>
      </c>
      <c r="I326" s="22">
        <v>0</v>
      </c>
    </row>
    <row r="327" spans="1:9" ht="27" hidden="1" x14ac:dyDescent="0.3">
      <c r="A327" s="105" t="s">
        <v>609</v>
      </c>
      <c r="B327" s="105"/>
      <c r="C327" s="105" t="s">
        <v>610</v>
      </c>
      <c r="D327" s="105"/>
      <c r="E327" s="52">
        <f>E328</f>
        <v>0</v>
      </c>
      <c r="F327" s="52"/>
      <c r="G327" s="52">
        <f>G328</f>
        <v>0</v>
      </c>
      <c r="H327" s="106">
        <f t="shared" ref="H327:I327" si="72">H328</f>
        <v>0</v>
      </c>
      <c r="I327" s="106">
        <f t="shared" si="72"/>
        <v>0</v>
      </c>
    </row>
    <row r="328" spans="1:9" ht="27" hidden="1" x14ac:dyDescent="0.3">
      <c r="A328" s="11" t="s">
        <v>611</v>
      </c>
      <c r="B328" s="11"/>
      <c r="C328" s="5" t="s">
        <v>612</v>
      </c>
      <c r="D328" s="22" t="e">
        <f>#REF!</f>
        <v>#REF!</v>
      </c>
      <c r="E328" s="22">
        <v>0</v>
      </c>
      <c r="F328" s="22"/>
      <c r="G328" s="22">
        <v>0</v>
      </c>
      <c r="H328" s="22">
        <v>0</v>
      </c>
      <c r="I328" s="22">
        <v>0</v>
      </c>
    </row>
    <row r="329" spans="1:9" ht="27" hidden="1" x14ac:dyDescent="0.3">
      <c r="A329" s="11"/>
      <c r="B329" s="1" t="s">
        <v>658</v>
      </c>
      <c r="C329" s="2" t="s">
        <v>659</v>
      </c>
      <c r="D329" s="22"/>
      <c r="E329" s="22">
        <v>0</v>
      </c>
      <c r="F329" s="22"/>
      <c r="G329" s="22">
        <v>0</v>
      </c>
      <c r="H329" s="22">
        <v>0</v>
      </c>
      <c r="I329" s="22">
        <v>0</v>
      </c>
    </row>
    <row r="330" spans="1:9" ht="41.25" customHeight="1" x14ac:dyDescent="0.25">
      <c r="A330" s="46" t="s">
        <v>326</v>
      </c>
      <c r="B330" s="46"/>
      <c r="C330" s="58" t="s">
        <v>327</v>
      </c>
      <c r="D330" s="48" t="e">
        <f>D331+D339</f>
        <v>#REF!</v>
      </c>
      <c r="E330" s="48">
        <f>E331+E339</f>
        <v>903.2</v>
      </c>
      <c r="F330" s="48"/>
      <c r="G330" s="48">
        <f>G331+G339</f>
        <v>903.2</v>
      </c>
      <c r="H330" s="48">
        <f>H331+H339</f>
        <v>927.59999999999991</v>
      </c>
      <c r="I330" s="48">
        <f>I331+I339</f>
        <v>953.2</v>
      </c>
    </row>
    <row r="331" spans="1:9" ht="26.25" x14ac:dyDescent="0.25">
      <c r="A331" s="49" t="s">
        <v>328</v>
      </c>
      <c r="B331" s="49"/>
      <c r="C331" s="50" t="s">
        <v>329</v>
      </c>
      <c r="D331" s="51" t="e">
        <f>D332</f>
        <v>#REF!</v>
      </c>
      <c r="E331" s="51">
        <f>E332</f>
        <v>562</v>
      </c>
      <c r="F331" s="51"/>
      <c r="G331" s="51">
        <f>G332</f>
        <v>562</v>
      </c>
      <c r="H331" s="51">
        <f>H332</f>
        <v>584.5</v>
      </c>
      <c r="I331" s="51">
        <f>I332</f>
        <v>607.9</v>
      </c>
    </row>
    <row r="332" spans="1:9" ht="39" x14ac:dyDescent="0.25">
      <c r="A332" s="52" t="s">
        <v>330</v>
      </c>
      <c r="B332" s="56"/>
      <c r="C332" s="53" t="s">
        <v>331</v>
      </c>
      <c r="D332" s="25" t="e">
        <f>D333+D334+D336</f>
        <v>#REF!</v>
      </c>
      <c r="E332" s="25">
        <f>E333+E334+E336</f>
        <v>562</v>
      </c>
      <c r="F332" s="25"/>
      <c r="G332" s="25">
        <f>G333+G334+G336</f>
        <v>562</v>
      </c>
      <c r="H332" s="25">
        <f>H333+H334+H336</f>
        <v>584.5</v>
      </c>
      <c r="I332" s="25">
        <f>I333+I334+I336</f>
        <v>607.9</v>
      </c>
    </row>
    <row r="333" spans="1:9" ht="40.15" hidden="1" x14ac:dyDescent="0.3">
      <c r="A333" s="11" t="s">
        <v>332</v>
      </c>
      <c r="B333" s="11"/>
      <c r="C333" s="5" t="s">
        <v>333</v>
      </c>
      <c r="D333" s="22" t="e">
        <f>#REF!</f>
        <v>#REF!</v>
      </c>
      <c r="E333" s="22">
        <v>0</v>
      </c>
      <c r="F333" s="22"/>
      <c r="G333" s="22">
        <v>0</v>
      </c>
      <c r="H333" s="22">
        <v>0</v>
      </c>
      <c r="I333" s="22">
        <v>0</v>
      </c>
    </row>
    <row r="334" spans="1:9" ht="39" x14ac:dyDescent="0.25">
      <c r="A334" s="11" t="s">
        <v>334</v>
      </c>
      <c r="B334" s="11"/>
      <c r="C334" s="5" t="s">
        <v>335</v>
      </c>
      <c r="D334" s="22" t="e">
        <f>#REF!</f>
        <v>#REF!</v>
      </c>
      <c r="E334" s="22">
        <v>10</v>
      </c>
      <c r="F334" s="22"/>
      <c r="G334" s="22">
        <v>10</v>
      </c>
      <c r="H334" s="22">
        <v>10.4</v>
      </c>
      <c r="I334" s="22">
        <v>10.8</v>
      </c>
    </row>
    <row r="335" spans="1:9" ht="26.25" x14ac:dyDescent="0.25">
      <c r="A335" s="11"/>
      <c r="B335" s="11" t="s">
        <v>344</v>
      </c>
      <c r="C335" s="5" t="s">
        <v>345</v>
      </c>
      <c r="D335" s="22"/>
      <c r="E335" s="22">
        <v>10</v>
      </c>
      <c r="F335" s="22"/>
      <c r="G335" s="22">
        <v>10</v>
      </c>
      <c r="H335" s="22">
        <v>10.4</v>
      </c>
      <c r="I335" s="22">
        <v>10.8</v>
      </c>
    </row>
    <row r="336" spans="1:9" ht="51.75" x14ac:dyDescent="0.25">
      <c r="A336" s="11" t="s">
        <v>336</v>
      </c>
      <c r="B336" s="11"/>
      <c r="C336" s="5" t="s">
        <v>337</v>
      </c>
      <c r="D336" s="22" t="e">
        <f>#REF!</f>
        <v>#REF!</v>
      </c>
      <c r="E336" s="22">
        <v>552</v>
      </c>
      <c r="F336" s="22"/>
      <c r="G336" s="22">
        <v>552</v>
      </c>
      <c r="H336" s="22">
        <v>574.1</v>
      </c>
      <c r="I336" s="22">
        <v>597.1</v>
      </c>
    </row>
    <row r="337" spans="1:9" ht="27" hidden="1" x14ac:dyDescent="0.3">
      <c r="A337" s="11" t="s">
        <v>338</v>
      </c>
      <c r="B337" s="11"/>
      <c r="C337" s="5" t="s">
        <v>339</v>
      </c>
      <c r="D337" s="22"/>
      <c r="E337" s="22">
        <v>0</v>
      </c>
      <c r="F337" s="22"/>
      <c r="G337" s="22">
        <v>0</v>
      </c>
      <c r="H337" s="22">
        <v>0</v>
      </c>
      <c r="I337" s="22">
        <v>0</v>
      </c>
    </row>
    <row r="338" spans="1:9" ht="26.25" x14ac:dyDescent="0.25">
      <c r="A338" s="11"/>
      <c r="B338" s="11" t="s">
        <v>344</v>
      </c>
      <c r="C338" s="5" t="s">
        <v>345</v>
      </c>
      <c r="D338" s="22"/>
      <c r="E338" s="22">
        <v>552</v>
      </c>
      <c r="F338" s="22"/>
      <c r="G338" s="22">
        <v>552</v>
      </c>
      <c r="H338" s="22">
        <v>574.1</v>
      </c>
      <c r="I338" s="22">
        <v>597.1</v>
      </c>
    </row>
    <row r="339" spans="1:9" ht="26.25" x14ac:dyDescent="0.25">
      <c r="A339" s="49" t="s">
        <v>340</v>
      </c>
      <c r="B339" s="49"/>
      <c r="C339" s="50" t="s">
        <v>341</v>
      </c>
      <c r="D339" s="51" t="e">
        <f t="shared" ref="D339:I339" si="73">D340</f>
        <v>#REF!</v>
      </c>
      <c r="E339" s="51">
        <f t="shared" si="73"/>
        <v>341.2</v>
      </c>
      <c r="F339" s="51"/>
      <c r="G339" s="51">
        <f t="shared" si="73"/>
        <v>341.2</v>
      </c>
      <c r="H339" s="51">
        <f t="shared" si="73"/>
        <v>343.09999999999997</v>
      </c>
      <c r="I339" s="51">
        <f t="shared" si="73"/>
        <v>345.3</v>
      </c>
    </row>
    <row r="340" spans="1:9" ht="26.25" x14ac:dyDescent="0.25">
      <c r="A340" s="52" t="s">
        <v>616</v>
      </c>
      <c r="B340" s="56"/>
      <c r="C340" s="53" t="s">
        <v>342</v>
      </c>
      <c r="D340" s="25" t="e">
        <f>D341+#REF!+D348+D345</f>
        <v>#REF!</v>
      </c>
      <c r="E340" s="25">
        <f>E341+E348+E345</f>
        <v>341.2</v>
      </c>
      <c r="F340" s="25"/>
      <c r="G340" s="25">
        <f>G341+G348+G345</f>
        <v>341.2</v>
      </c>
      <c r="H340" s="25">
        <f>H341+H348+H345</f>
        <v>343.09999999999997</v>
      </c>
      <c r="I340" s="25">
        <f>I341+I348+I345</f>
        <v>345.3</v>
      </c>
    </row>
    <row r="341" spans="1:9" ht="39" x14ac:dyDescent="0.25">
      <c r="A341" s="11" t="s">
        <v>615</v>
      </c>
      <c r="B341" s="11"/>
      <c r="C341" s="71" t="s">
        <v>343</v>
      </c>
      <c r="D341" s="22" t="e">
        <f>D342+#REF!</f>
        <v>#REF!</v>
      </c>
      <c r="E341" s="22">
        <f>E344+E343</f>
        <v>290</v>
      </c>
      <c r="F341" s="22"/>
      <c r="G341" s="22">
        <f>G344+G343</f>
        <v>290</v>
      </c>
      <c r="H341" s="22">
        <f t="shared" ref="H341:I341" si="74">H344+H343</f>
        <v>290</v>
      </c>
      <c r="I341" s="22">
        <f t="shared" si="74"/>
        <v>290</v>
      </c>
    </row>
    <row r="342" spans="1:9" ht="26.25" x14ac:dyDescent="0.25">
      <c r="A342" s="11"/>
      <c r="B342" s="11" t="s">
        <v>344</v>
      </c>
      <c r="C342" s="5" t="s">
        <v>345</v>
      </c>
      <c r="D342" s="22" t="e">
        <f>#REF!</f>
        <v>#REF!</v>
      </c>
      <c r="E342" s="22">
        <v>290</v>
      </c>
      <c r="F342" s="22"/>
      <c r="G342" s="22">
        <v>290</v>
      </c>
      <c r="H342" s="22">
        <v>290</v>
      </c>
      <c r="I342" s="22">
        <v>290</v>
      </c>
    </row>
    <row r="343" spans="1:9" x14ac:dyDescent="0.25">
      <c r="A343" s="11"/>
      <c r="B343" s="11"/>
      <c r="C343" s="5" t="s">
        <v>188</v>
      </c>
      <c r="D343" s="22">
        <v>115.3</v>
      </c>
      <c r="E343" s="22">
        <v>111.6</v>
      </c>
      <c r="F343" s="22"/>
      <c r="G343" s="22">
        <v>111.6</v>
      </c>
      <c r="H343" s="22">
        <v>111.6</v>
      </c>
      <c r="I343" s="22">
        <v>111.6</v>
      </c>
    </row>
    <row r="344" spans="1:9" x14ac:dyDescent="0.25">
      <c r="A344" s="11"/>
      <c r="B344" s="11"/>
      <c r="C344" s="5" t="s">
        <v>121</v>
      </c>
      <c r="D344" s="22">
        <v>207.9</v>
      </c>
      <c r="E344" s="22">
        <v>178.4</v>
      </c>
      <c r="F344" s="22"/>
      <c r="G344" s="22">
        <v>178.4</v>
      </c>
      <c r="H344" s="22">
        <v>178.4</v>
      </c>
      <c r="I344" s="22">
        <v>178.4</v>
      </c>
    </row>
    <row r="345" spans="1:9" ht="39" x14ac:dyDescent="0.25">
      <c r="A345" s="11" t="s">
        <v>617</v>
      </c>
      <c r="B345" s="11"/>
      <c r="C345" s="5" t="s">
        <v>1386</v>
      </c>
      <c r="D345" s="72" t="e">
        <f>#REF!</f>
        <v>#REF!</v>
      </c>
      <c r="E345" s="72">
        <v>31.2</v>
      </c>
      <c r="F345" s="72"/>
      <c r="G345" s="72">
        <v>31.2</v>
      </c>
      <c r="H345" s="72">
        <v>32.4</v>
      </c>
      <c r="I345" s="72">
        <v>33.700000000000003</v>
      </c>
    </row>
    <row r="346" spans="1:9" ht="26.25" x14ac:dyDescent="0.25">
      <c r="A346" s="11"/>
      <c r="B346" s="11" t="s">
        <v>344</v>
      </c>
      <c r="C346" s="5" t="s">
        <v>345</v>
      </c>
      <c r="D346" s="72"/>
      <c r="E346" s="72">
        <v>27.4</v>
      </c>
      <c r="F346" s="72"/>
      <c r="G346" s="72">
        <v>27.4</v>
      </c>
      <c r="H346" s="72">
        <v>28.5</v>
      </c>
      <c r="I346" s="72">
        <v>29.7</v>
      </c>
    </row>
    <row r="347" spans="1:9" ht="26.25" x14ac:dyDescent="0.25">
      <c r="A347" s="11"/>
      <c r="B347" s="1" t="s">
        <v>658</v>
      </c>
      <c r="C347" s="2" t="s">
        <v>659</v>
      </c>
      <c r="D347" s="72"/>
      <c r="E347" s="72">
        <v>3.8</v>
      </c>
      <c r="F347" s="72"/>
      <c r="G347" s="72">
        <v>3.8</v>
      </c>
      <c r="H347" s="72">
        <v>3.9</v>
      </c>
      <c r="I347" s="72">
        <v>4</v>
      </c>
    </row>
    <row r="348" spans="1:9" x14ac:dyDescent="0.25">
      <c r="A348" s="11" t="s">
        <v>618</v>
      </c>
      <c r="B348" s="11"/>
      <c r="C348" s="5" t="s">
        <v>1387</v>
      </c>
      <c r="D348" s="72" t="e">
        <f>#REF!</f>
        <v>#REF!</v>
      </c>
      <c r="E348" s="72">
        <v>20</v>
      </c>
      <c r="F348" s="72"/>
      <c r="G348" s="72">
        <v>20</v>
      </c>
      <c r="H348" s="72">
        <v>20.7</v>
      </c>
      <c r="I348" s="72">
        <v>21.6</v>
      </c>
    </row>
    <row r="349" spans="1:9" ht="26.25" x14ac:dyDescent="0.25">
      <c r="A349" s="11"/>
      <c r="B349" s="1" t="s">
        <v>658</v>
      </c>
      <c r="C349" s="2" t="s">
        <v>659</v>
      </c>
      <c r="D349" s="72"/>
      <c r="E349" s="72">
        <v>20</v>
      </c>
      <c r="F349" s="72"/>
      <c r="G349" s="72">
        <v>20</v>
      </c>
      <c r="H349" s="72">
        <v>20.7</v>
      </c>
      <c r="I349" s="72">
        <v>21.6</v>
      </c>
    </row>
    <row r="350" spans="1:9" ht="26.25" x14ac:dyDescent="0.25">
      <c r="A350" s="46" t="s">
        <v>346</v>
      </c>
      <c r="B350" s="46"/>
      <c r="C350" s="58" t="s">
        <v>347</v>
      </c>
      <c r="D350" s="48" t="e">
        <f>#REF!</f>
        <v>#REF!</v>
      </c>
      <c r="E350" s="48">
        <f>E351+E355</f>
        <v>518</v>
      </c>
      <c r="F350" s="48"/>
      <c r="G350" s="48">
        <f>G351+G355</f>
        <v>518</v>
      </c>
      <c r="H350" s="48">
        <f t="shared" ref="H350:I350" si="75">H351+H355</f>
        <v>907.3</v>
      </c>
      <c r="I350" s="48">
        <f t="shared" si="75"/>
        <v>266.8</v>
      </c>
    </row>
    <row r="351" spans="1:9" ht="26.25" x14ac:dyDescent="0.25">
      <c r="A351" s="49" t="s">
        <v>619</v>
      </c>
      <c r="B351" s="49"/>
      <c r="C351" s="82" t="s">
        <v>620</v>
      </c>
      <c r="D351" s="51"/>
      <c r="E351" s="51">
        <f>E352</f>
        <v>271.10000000000002</v>
      </c>
      <c r="F351" s="51"/>
      <c r="G351" s="51">
        <f>G352</f>
        <v>271.10000000000002</v>
      </c>
      <c r="H351" s="51">
        <f t="shared" ref="H351:I351" si="76">H352</f>
        <v>650.6</v>
      </c>
      <c r="I351" s="51">
        <f t="shared" si="76"/>
        <v>0</v>
      </c>
    </row>
    <row r="352" spans="1:9" ht="51.75" x14ac:dyDescent="0.25">
      <c r="A352" s="52" t="s">
        <v>621</v>
      </c>
      <c r="B352" s="56"/>
      <c r="C352" s="33" t="s">
        <v>622</v>
      </c>
      <c r="D352" s="48"/>
      <c r="E352" s="25">
        <f>E353</f>
        <v>271.10000000000002</v>
      </c>
      <c r="F352" s="25"/>
      <c r="G352" s="25">
        <f>G353</f>
        <v>271.10000000000002</v>
      </c>
      <c r="H352" s="25">
        <f>H353</f>
        <v>650.6</v>
      </c>
      <c r="I352" s="25">
        <f>I353</f>
        <v>0</v>
      </c>
    </row>
    <row r="353" spans="1:11" ht="26.25" x14ac:dyDescent="0.25">
      <c r="A353" s="11" t="s">
        <v>623</v>
      </c>
      <c r="B353" s="11"/>
      <c r="C353" s="31" t="s">
        <v>348</v>
      </c>
      <c r="D353" s="48"/>
      <c r="E353" s="72">
        <v>271.10000000000002</v>
      </c>
      <c r="F353" s="72"/>
      <c r="G353" s="72">
        <v>271.10000000000002</v>
      </c>
      <c r="H353" s="72">
        <v>650.6</v>
      </c>
      <c r="I353" s="72">
        <v>0</v>
      </c>
    </row>
    <row r="354" spans="1:11" ht="26.25" x14ac:dyDescent="0.25">
      <c r="A354" s="11"/>
      <c r="B354" s="11" t="s">
        <v>344</v>
      </c>
      <c r="C354" s="5" t="s">
        <v>345</v>
      </c>
      <c r="D354" s="48"/>
      <c r="E354" s="72">
        <v>271.10000000000002</v>
      </c>
      <c r="F354" s="72"/>
      <c r="G354" s="72">
        <v>271.10000000000002</v>
      </c>
      <c r="H354" s="72">
        <v>650.6</v>
      </c>
      <c r="I354" s="72">
        <v>0</v>
      </c>
    </row>
    <row r="355" spans="1:11" ht="26.25" x14ac:dyDescent="0.25">
      <c r="A355" s="49" t="s">
        <v>624</v>
      </c>
      <c r="B355" s="49"/>
      <c r="C355" s="82" t="s">
        <v>625</v>
      </c>
      <c r="D355" s="51"/>
      <c r="E355" s="51">
        <f>E356+E359</f>
        <v>246.9</v>
      </c>
      <c r="F355" s="51"/>
      <c r="G355" s="51">
        <f>G356+G359</f>
        <v>246.9</v>
      </c>
      <c r="H355" s="51">
        <f t="shared" ref="H355:I355" si="77">H356+H359</f>
        <v>256.7</v>
      </c>
      <c r="I355" s="51">
        <f t="shared" si="77"/>
        <v>266.8</v>
      </c>
    </row>
    <row r="356" spans="1:11" ht="26.25" x14ac:dyDescent="0.25">
      <c r="A356" s="52" t="s">
        <v>626</v>
      </c>
      <c r="B356" s="52"/>
      <c r="C356" s="33" t="s">
        <v>474</v>
      </c>
      <c r="D356" s="25"/>
      <c r="E356" s="25">
        <f>E357</f>
        <v>120</v>
      </c>
      <c r="F356" s="25"/>
      <c r="G356" s="25">
        <f>G357</f>
        <v>120</v>
      </c>
      <c r="H356" s="25">
        <f t="shared" ref="H356:I356" si="78">H357</f>
        <v>124.8</v>
      </c>
      <c r="I356" s="25">
        <f t="shared" si="78"/>
        <v>130</v>
      </c>
    </row>
    <row r="357" spans="1:11" x14ac:dyDescent="0.25">
      <c r="A357" s="11" t="s">
        <v>627</v>
      </c>
      <c r="B357" s="11"/>
      <c r="C357" s="31" t="s">
        <v>349</v>
      </c>
      <c r="D357" s="48"/>
      <c r="E357" s="72">
        <v>120</v>
      </c>
      <c r="F357" s="72"/>
      <c r="G357" s="72">
        <v>120</v>
      </c>
      <c r="H357" s="72">
        <v>124.8</v>
      </c>
      <c r="I357" s="72">
        <v>130</v>
      </c>
    </row>
    <row r="358" spans="1:11" ht="26.25" x14ac:dyDescent="0.25">
      <c r="A358" s="11"/>
      <c r="B358" s="11" t="s">
        <v>344</v>
      </c>
      <c r="C358" s="5" t="s">
        <v>345</v>
      </c>
      <c r="D358" s="48"/>
      <c r="E358" s="72">
        <v>120</v>
      </c>
      <c r="F358" s="72"/>
      <c r="G358" s="72">
        <v>120</v>
      </c>
      <c r="H358" s="72">
        <v>124.8</v>
      </c>
      <c r="I358" s="72">
        <v>130</v>
      </c>
    </row>
    <row r="359" spans="1:11" x14ac:dyDescent="0.25">
      <c r="A359" s="52" t="s">
        <v>628</v>
      </c>
      <c r="B359" s="52"/>
      <c r="C359" s="33" t="s">
        <v>475</v>
      </c>
      <c r="D359" s="25"/>
      <c r="E359" s="25">
        <f>E360+E362+E364+E366</f>
        <v>126.9</v>
      </c>
      <c r="F359" s="25"/>
      <c r="G359" s="25">
        <f>G360+G362+G364+G366</f>
        <v>126.9</v>
      </c>
      <c r="H359" s="25">
        <f t="shared" ref="H359:I359" si="79">H360+H362+H364+H366</f>
        <v>131.9</v>
      </c>
      <c r="I359" s="25">
        <f t="shared" si="79"/>
        <v>136.80000000000001</v>
      </c>
    </row>
    <row r="360" spans="1:11" ht="26.25" x14ac:dyDescent="0.25">
      <c r="A360" s="11" t="s">
        <v>629</v>
      </c>
      <c r="B360" s="11"/>
      <c r="C360" s="31" t="s">
        <v>350</v>
      </c>
      <c r="D360" s="48"/>
      <c r="E360" s="72">
        <f>100-64</f>
        <v>36</v>
      </c>
      <c r="F360" s="72"/>
      <c r="G360" s="72">
        <f>100-64</f>
        <v>36</v>
      </c>
      <c r="H360" s="72">
        <f>104-66.6</f>
        <v>37.400000000000006</v>
      </c>
      <c r="I360" s="72">
        <f>108-69.3</f>
        <v>38.700000000000003</v>
      </c>
    </row>
    <row r="361" spans="1:11" ht="26.25" x14ac:dyDescent="0.25">
      <c r="A361" s="11"/>
      <c r="B361" s="11" t="s">
        <v>344</v>
      </c>
      <c r="C361" s="5" t="s">
        <v>345</v>
      </c>
      <c r="D361" s="48"/>
      <c r="E361" s="72">
        <f>100-64</f>
        <v>36</v>
      </c>
      <c r="F361" s="72"/>
      <c r="G361" s="72">
        <f>100-64</f>
        <v>36</v>
      </c>
      <c r="H361" s="72">
        <f>104-66.6</f>
        <v>37.400000000000006</v>
      </c>
      <c r="I361" s="72">
        <f>108-69.3</f>
        <v>38.700000000000003</v>
      </c>
    </row>
    <row r="362" spans="1:11" ht="26.25" x14ac:dyDescent="0.25">
      <c r="A362" s="11" t="s">
        <v>630</v>
      </c>
      <c r="B362" s="11"/>
      <c r="C362" s="31" t="s">
        <v>351</v>
      </c>
      <c r="D362" s="48"/>
      <c r="E362" s="72">
        <v>40</v>
      </c>
      <c r="F362" s="72"/>
      <c r="G362" s="72">
        <v>40</v>
      </c>
      <c r="H362" s="72">
        <v>41.6</v>
      </c>
      <c r="I362" s="72">
        <v>43.2</v>
      </c>
    </row>
    <row r="363" spans="1:11" ht="26.25" x14ac:dyDescent="0.25">
      <c r="A363" s="11"/>
      <c r="B363" s="11" t="s">
        <v>344</v>
      </c>
      <c r="C363" s="5" t="s">
        <v>345</v>
      </c>
      <c r="D363" s="48"/>
      <c r="E363" s="72">
        <v>40</v>
      </c>
      <c r="F363" s="72"/>
      <c r="G363" s="72">
        <v>40</v>
      </c>
      <c r="H363" s="72">
        <v>41.6</v>
      </c>
      <c r="I363" s="72">
        <v>43.2</v>
      </c>
    </row>
    <row r="364" spans="1:11" x14ac:dyDescent="0.25">
      <c r="A364" s="11" t="s">
        <v>631</v>
      </c>
      <c r="B364" s="11"/>
      <c r="C364" s="31" t="s">
        <v>352</v>
      </c>
      <c r="D364" s="48"/>
      <c r="E364" s="72">
        <f>50-24.2</f>
        <v>25.8</v>
      </c>
      <c r="F364" s="72"/>
      <c r="G364" s="72">
        <f>50-24.2</f>
        <v>25.8</v>
      </c>
      <c r="H364" s="72">
        <f>52-25.2</f>
        <v>26.8</v>
      </c>
      <c r="I364" s="72">
        <f>54-26.2</f>
        <v>27.8</v>
      </c>
    </row>
    <row r="365" spans="1:11" ht="26.25" x14ac:dyDescent="0.25">
      <c r="A365" s="11"/>
      <c r="B365" s="11" t="s">
        <v>344</v>
      </c>
      <c r="C365" s="5" t="s">
        <v>345</v>
      </c>
      <c r="D365" s="48"/>
      <c r="E365" s="72">
        <f>50-24.2</f>
        <v>25.8</v>
      </c>
      <c r="F365" s="72"/>
      <c r="G365" s="72">
        <f>50-24.2</f>
        <v>25.8</v>
      </c>
      <c r="H365" s="72">
        <f>52-25.2</f>
        <v>26.8</v>
      </c>
      <c r="I365" s="72">
        <f>54-26.2</f>
        <v>27.8</v>
      </c>
    </row>
    <row r="366" spans="1:11" ht="15.75" customHeight="1" x14ac:dyDescent="0.25">
      <c r="A366" s="11" t="s">
        <v>632</v>
      </c>
      <c r="B366" s="11"/>
      <c r="C366" s="31" t="s">
        <v>353</v>
      </c>
      <c r="D366" s="48"/>
      <c r="E366" s="72">
        <f>50-24.9</f>
        <v>25.1</v>
      </c>
      <c r="F366" s="72"/>
      <c r="G366" s="72">
        <f>50-24.9</f>
        <v>25.1</v>
      </c>
      <c r="H366" s="72">
        <f>52-25.9</f>
        <v>26.1</v>
      </c>
      <c r="I366" s="72">
        <f>54-26.9</f>
        <v>27.1</v>
      </c>
    </row>
    <row r="367" spans="1:11" ht="26.25" x14ac:dyDescent="0.25">
      <c r="A367" s="11"/>
      <c r="B367" s="11" t="s">
        <v>344</v>
      </c>
      <c r="C367" s="5" t="s">
        <v>345</v>
      </c>
      <c r="D367" s="48"/>
      <c r="E367" s="72">
        <f>50-24.9</f>
        <v>25.1</v>
      </c>
      <c r="F367" s="72"/>
      <c r="G367" s="72">
        <f>50-24.9</f>
        <v>25.1</v>
      </c>
      <c r="H367" s="72">
        <f>52-25.9</f>
        <v>26.1</v>
      </c>
      <c r="I367" s="72">
        <f>54-26.9</f>
        <v>27.1</v>
      </c>
    </row>
    <row r="368" spans="1:11" ht="26.25" x14ac:dyDescent="0.25">
      <c r="A368" s="46" t="s">
        <v>354</v>
      </c>
      <c r="B368" s="46"/>
      <c r="C368" s="58" t="s">
        <v>355</v>
      </c>
      <c r="D368" s="48" t="e">
        <f>D369+D396+D438+#REF!</f>
        <v>#REF!</v>
      </c>
      <c r="E368" s="48">
        <f>E369+E396+E438</f>
        <v>34490.800000000003</v>
      </c>
      <c r="F368" s="441">
        <f>F369+F396+F438</f>
        <v>4450.9054999999998</v>
      </c>
      <c r="G368" s="48">
        <f>G369+G396+G438</f>
        <v>38941.705499999996</v>
      </c>
      <c r="H368" s="48">
        <f>H369+H396+H438</f>
        <v>43579.8</v>
      </c>
      <c r="I368" s="48">
        <f>I369+I396+I438</f>
        <v>43219.399999999994</v>
      </c>
      <c r="K368" s="63"/>
    </row>
    <row r="369" spans="1:12" x14ac:dyDescent="0.25">
      <c r="A369" s="49" t="s">
        <v>356</v>
      </c>
      <c r="B369" s="49"/>
      <c r="C369" s="82" t="s">
        <v>357</v>
      </c>
      <c r="D369" s="51" t="e">
        <f>D370+D381</f>
        <v>#REF!</v>
      </c>
      <c r="E369" s="51">
        <f>E370+E381</f>
        <v>4985.2</v>
      </c>
      <c r="F369" s="51"/>
      <c r="G369" s="51">
        <f>G370+G381</f>
        <v>4985.2</v>
      </c>
      <c r="H369" s="51">
        <f>H370+H381</f>
        <v>13736.4</v>
      </c>
      <c r="I369" s="51">
        <f>I370+I381</f>
        <v>18430.7</v>
      </c>
      <c r="K369" s="63"/>
    </row>
    <row r="370" spans="1:12" ht="47.25" customHeight="1" x14ac:dyDescent="0.25">
      <c r="A370" s="52" t="s">
        <v>358</v>
      </c>
      <c r="B370" s="52"/>
      <c r="C370" s="33" t="s">
        <v>359</v>
      </c>
      <c r="D370" s="25" t="e">
        <f>D371+D376</f>
        <v>#REF!</v>
      </c>
      <c r="E370" s="25">
        <f>E371+E376</f>
        <v>3286.9</v>
      </c>
      <c r="F370" s="25"/>
      <c r="G370" s="25">
        <f>G371+G376</f>
        <v>3286.9</v>
      </c>
      <c r="H370" s="25">
        <f>H371+H376</f>
        <v>13736.4</v>
      </c>
      <c r="I370" s="25">
        <f>I371+I376</f>
        <v>18430.7</v>
      </c>
      <c r="K370" s="63"/>
      <c r="L370" s="63"/>
    </row>
    <row r="371" spans="1:12" ht="26.25" x14ac:dyDescent="0.25">
      <c r="A371" s="107" t="s">
        <v>361</v>
      </c>
      <c r="B371" s="20"/>
      <c r="C371" s="84" t="s">
        <v>660</v>
      </c>
      <c r="D371" s="19" t="e">
        <f>#REF!</f>
        <v>#REF!</v>
      </c>
      <c r="E371" s="19">
        <v>0</v>
      </c>
      <c r="F371" s="19"/>
      <c r="G371" s="19">
        <v>0</v>
      </c>
      <c r="H371" s="22">
        <f>H373+H374+H375</f>
        <v>1958.5</v>
      </c>
      <c r="I371" s="22">
        <f>I373+I374+I375</f>
        <v>1789.3</v>
      </c>
    </row>
    <row r="372" spans="1:12" x14ac:dyDescent="0.25">
      <c r="A372" s="36"/>
      <c r="B372" s="1" t="s">
        <v>564</v>
      </c>
      <c r="C372" s="2" t="s">
        <v>565</v>
      </c>
      <c r="D372" s="19"/>
      <c r="E372" s="19">
        <v>0</v>
      </c>
      <c r="F372" s="19"/>
      <c r="G372" s="19">
        <v>0</v>
      </c>
      <c r="H372" s="22">
        <v>1958.5</v>
      </c>
      <c r="I372" s="22">
        <v>1789.3</v>
      </c>
    </row>
    <row r="373" spans="1:12" ht="14.45" hidden="1" x14ac:dyDescent="0.3">
      <c r="A373" s="36"/>
      <c r="B373" s="20"/>
      <c r="C373" s="84" t="s">
        <v>187</v>
      </c>
      <c r="D373" s="22">
        <v>0</v>
      </c>
      <c r="E373" s="22"/>
      <c r="F373" s="22"/>
      <c r="G373" s="22"/>
      <c r="H373" s="22"/>
      <c r="I373" s="22"/>
    </row>
    <row r="374" spans="1:12" x14ac:dyDescent="0.25">
      <c r="A374" s="36"/>
      <c r="B374" s="20"/>
      <c r="C374" s="84" t="s">
        <v>255</v>
      </c>
      <c r="D374" s="22">
        <v>0</v>
      </c>
      <c r="E374" s="22"/>
      <c r="F374" s="22"/>
      <c r="G374" s="22"/>
      <c r="H374" s="22">
        <v>1468.9</v>
      </c>
      <c r="I374" s="22">
        <v>1342</v>
      </c>
    </row>
    <row r="375" spans="1:12" x14ac:dyDescent="0.25">
      <c r="A375" s="36"/>
      <c r="B375" s="20"/>
      <c r="C375" s="84" t="s">
        <v>362</v>
      </c>
      <c r="D375" s="22">
        <v>0</v>
      </c>
      <c r="E375" s="22">
        <v>0</v>
      </c>
      <c r="F375" s="22"/>
      <c r="G375" s="22">
        <v>0</v>
      </c>
      <c r="H375" s="22">
        <v>489.6</v>
      </c>
      <c r="I375" s="22">
        <v>447.3</v>
      </c>
    </row>
    <row r="376" spans="1:12" ht="26.25" x14ac:dyDescent="0.25">
      <c r="A376" s="36" t="s">
        <v>363</v>
      </c>
      <c r="B376" s="11"/>
      <c r="C376" s="5" t="s">
        <v>364</v>
      </c>
      <c r="D376" s="19" t="e">
        <f>#REF!</f>
        <v>#REF!</v>
      </c>
      <c r="E376" s="22">
        <f>E378+E379+E380</f>
        <v>3286.9</v>
      </c>
      <c r="F376" s="22"/>
      <c r="G376" s="22">
        <f>G378+G379+G380</f>
        <v>3286.9</v>
      </c>
      <c r="H376" s="22">
        <f t="shared" ref="H376:I376" si="80">H378+H379+H380</f>
        <v>11777.9</v>
      </c>
      <c r="I376" s="22">
        <f t="shared" si="80"/>
        <v>16641.400000000001</v>
      </c>
      <c r="J376" s="85"/>
    </row>
    <row r="377" spans="1:12" ht="26.25" x14ac:dyDescent="0.25">
      <c r="A377" s="36"/>
      <c r="B377" s="28" t="s">
        <v>344</v>
      </c>
      <c r="C377" s="29" t="s">
        <v>345</v>
      </c>
      <c r="D377" s="19"/>
      <c r="E377" s="22">
        <v>3286.9</v>
      </c>
      <c r="F377" s="22"/>
      <c r="G377" s="22">
        <v>3286.9</v>
      </c>
      <c r="H377" s="22">
        <v>11777.9</v>
      </c>
      <c r="I377" s="22">
        <v>16641.400000000001</v>
      </c>
      <c r="J377" s="85"/>
    </row>
    <row r="378" spans="1:12" x14ac:dyDescent="0.25">
      <c r="A378" s="36"/>
      <c r="B378" s="11"/>
      <c r="C378" s="84" t="s">
        <v>187</v>
      </c>
      <c r="D378" s="22">
        <v>763.9</v>
      </c>
      <c r="E378" s="22">
        <v>2185.8000000000002</v>
      </c>
      <c r="F378" s="22"/>
      <c r="G378" s="22">
        <v>2185.8000000000002</v>
      </c>
      <c r="H378" s="22">
        <v>7832.3</v>
      </c>
      <c r="I378" s="22">
        <v>11066.5</v>
      </c>
      <c r="J378" s="85"/>
    </row>
    <row r="379" spans="1:12" x14ac:dyDescent="0.25">
      <c r="A379" s="36"/>
      <c r="B379" s="11"/>
      <c r="C379" s="84" t="s">
        <v>255</v>
      </c>
      <c r="D379" s="22">
        <v>40.200000000000003</v>
      </c>
      <c r="E379" s="22">
        <v>115</v>
      </c>
      <c r="F379" s="22"/>
      <c r="G379" s="22">
        <v>115</v>
      </c>
      <c r="H379" s="22">
        <v>412.2</v>
      </c>
      <c r="I379" s="22">
        <v>582.5</v>
      </c>
      <c r="J379" s="85"/>
    </row>
    <row r="380" spans="1:12" x14ac:dyDescent="0.25">
      <c r="A380" s="36"/>
      <c r="B380" s="11"/>
      <c r="C380" s="84" t="s">
        <v>362</v>
      </c>
      <c r="D380" s="22">
        <v>344.6</v>
      </c>
      <c r="E380" s="22">
        <v>986.1</v>
      </c>
      <c r="F380" s="22"/>
      <c r="G380" s="22">
        <v>986.1</v>
      </c>
      <c r="H380" s="22">
        <v>3533.4</v>
      </c>
      <c r="I380" s="22">
        <v>4992.3999999999996</v>
      </c>
      <c r="J380" s="85"/>
    </row>
    <row r="381" spans="1:12" ht="26.25" x14ac:dyDescent="0.25">
      <c r="A381" s="52" t="s">
        <v>365</v>
      </c>
      <c r="B381" s="56"/>
      <c r="C381" s="33" t="s">
        <v>366</v>
      </c>
      <c r="D381" s="86" t="e">
        <f>D384+D390</f>
        <v>#REF!</v>
      </c>
      <c r="E381" s="86">
        <f>E384+E390</f>
        <v>1698.3</v>
      </c>
      <c r="F381" s="86"/>
      <c r="G381" s="86">
        <f>G384+G390</f>
        <v>1698.3</v>
      </c>
      <c r="H381" s="86">
        <f>H384+H390</f>
        <v>0</v>
      </c>
      <c r="I381" s="86">
        <f>I384+I390</f>
        <v>0</v>
      </c>
      <c r="J381" s="85"/>
    </row>
    <row r="382" spans="1:12" s="62" customFormat="1" ht="26.25" x14ac:dyDescent="0.25">
      <c r="A382" s="11" t="s">
        <v>367</v>
      </c>
      <c r="B382" s="11"/>
      <c r="C382" s="31" t="s">
        <v>360</v>
      </c>
      <c r="D382" s="22" t="e">
        <f>D384+D390</f>
        <v>#REF!</v>
      </c>
      <c r="E382" s="22">
        <f>E384+E390</f>
        <v>1698.3</v>
      </c>
      <c r="F382" s="22"/>
      <c r="G382" s="22">
        <f>G384+G390</f>
        <v>1698.3</v>
      </c>
      <c r="H382" s="22">
        <f>H384+H390</f>
        <v>0</v>
      </c>
      <c r="I382" s="22">
        <f>I384+I390</f>
        <v>0</v>
      </c>
      <c r="J382" s="87"/>
    </row>
    <row r="383" spans="1:12" s="62" customFormat="1" x14ac:dyDescent="0.25">
      <c r="A383" s="11"/>
      <c r="B383" s="11"/>
      <c r="C383" s="31" t="s">
        <v>291</v>
      </c>
      <c r="D383" s="22"/>
      <c r="E383" s="22"/>
      <c r="F383" s="22"/>
      <c r="G383" s="22"/>
      <c r="H383" s="22"/>
      <c r="I383" s="22"/>
      <c r="J383" s="87"/>
    </row>
    <row r="384" spans="1:12" x14ac:dyDescent="0.25">
      <c r="A384" s="11" t="s">
        <v>633</v>
      </c>
      <c r="B384" s="11"/>
      <c r="C384" s="83" t="s">
        <v>368</v>
      </c>
      <c r="D384" s="19" t="e">
        <f>#REF!</f>
        <v>#REF!</v>
      </c>
      <c r="E384" s="19">
        <f>E386+E387+E388+E389</f>
        <v>1428</v>
      </c>
      <c r="F384" s="19"/>
      <c r="G384" s="19">
        <f>G386+G387+G388+G389</f>
        <v>1428</v>
      </c>
      <c r="H384" s="19">
        <v>0</v>
      </c>
      <c r="I384" s="19">
        <v>0</v>
      </c>
      <c r="J384" s="85"/>
    </row>
    <row r="385" spans="1:11" ht="26.25" x14ac:dyDescent="0.25">
      <c r="A385" s="11"/>
      <c r="B385" s="1" t="s">
        <v>371</v>
      </c>
      <c r="C385" s="2" t="s">
        <v>372</v>
      </c>
      <c r="D385" s="19"/>
      <c r="E385" s="19">
        <v>1428</v>
      </c>
      <c r="F385" s="19"/>
      <c r="G385" s="19">
        <v>1428</v>
      </c>
      <c r="H385" s="19">
        <v>0</v>
      </c>
      <c r="I385" s="19">
        <v>0</v>
      </c>
      <c r="J385" s="85"/>
    </row>
    <row r="386" spans="1:11" x14ac:dyDescent="0.25">
      <c r="A386" s="11"/>
      <c r="B386" s="11"/>
      <c r="C386" s="84" t="s">
        <v>187</v>
      </c>
      <c r="D386" s="22"/>
      <c r="E386" s="22">
        <v>0</v>
      </c>
      <c r="F386" s="22"/>
      <c r="G386" s="22">
        <v>0</v>
      </c>
      <c r="H386" s="22">
        <v>0</v>
      </c>
      <c r="I386" s="22">
        <v>0</v>
      </c>
      <c r="J386" s="85"/>
    </row>
    <row r="387" spans="1:11" x14ac:dyDescent="0.25">
      <c r="A387" s="11"/>
      <c r="B387" s="11"/>
      <c r="C387" s="84" t="s">
        <v>255</v>
      </c>
      <c r="D387" s="22"/>
      <c r="E387" s="22">
        <v>0</v>
      </c>
      <c r="F387" s="22"/>
      <c r="G387" s="22">
        <v>0</v>
      </c>
      <c r="H387" s="22">
        <v>0</v>
      </c>
      <c r="I387" s="22">
        <v>0</v>
      </c>
      <c r="J387" s="85"/>
    </row>
    <row r="388" spans="1:11" x14ac:dyDescent="0.25">
      <c r="A388" s="11"/>
      <c r="B388" s="11"/>
      <c r="C388" s="84" t="s">
        <v>362</v>
      </c>
      <c r="D388" s="72">
        <v>1420.9</v>
      </c>
      <c r="E388" s="72">
        <v>1428</v>
      </c>
      <c r="F388" s="72"/>
      <c r="G388" s="72">
        <v>1428</v>
      </c>
      <c r="H388" s="72">
        <v>0</v>
      </c>
      <c r="I388" s="72">
        <v>0</v>
      </c>
      <c r="J388" s="85"/>
    </row>
    <row r="389" spans="1:11" x14ac:dyDescent="0.25">
      <c r="A389" s="11"/>
      <c r="B389" s="11"/>
      <c r="C389" s="84" t="s">
        <v>369</v>
      </c>
      <c r="D389" s="22"/>
      <c r="E389" s="22">
        <v>0</v>
      </c>
      <c r="F389" s="22"/>
      <c r="G389" s="22">
        <v>0</v>
      </c>
      <c r="H389" s="22">
        <v>0</v>
      </c>
      <c r="I389" s="22">
        <v>0</v>
      </c>
      <c r="J389" s="85"/>
    </row>
    <row r="390" spans="1:11" ht="39" x14ac:dyDescent="0.25">
      <c r="A390" s="11" t="s">
        <v>634</v>
      </c>
      <c r="B390" s="11"/>
      <c r="C390" s="83" t="s">
        <v>370</v>
      </c>
      <c r="D390" s="19">
        <f>D391</f>
        <v>260.60000000000002</v>
      </c>
      <c r="E390" s="19">
        <f>E391</f>
        <v>270.3</v>
      </c>
      <c r="F390" s="19"/>
      <c r="G390" s="19">
        <f>G391</f>
        <v>270.3</v>
      </c>
      <c r="H390" s="19">
        <f>H391</f>
        <v>0</v>
      </c>
      <c r="I390" s="19">
        <f>I391</f>
        <v>0</v>
      </c>
      <c r="J390" s="85"/>
    </row>
    <row r="391" spans="1:11" ht="26.25" x14ac:dyDescent="0.25">
      <c r="A391" s="11"/>
      <c r="B391" s="11" t="s">
        <v>371</v>
      </c>
      <c r="C391" s="5" t="s">
        <v>372</v>
      </c>
      <c r="D391" s="22">
        <f>D394</f>
        <v>260.60000000000002</v>
      </c>
      <c r="E391" s="22">
        <f>E392+E393+E394+E395</f>
        <v>270.3</v>
      </c>
      <c r="F391" s="22"/>
      <c r="G391" s="22">
        <f>G392+G393+G394+G395</f>
        <v>270.3</v>
      </c>
      <c r="H391" s="22">
        <v>0</v>
      </c>
      <c r="I391" s="22">
        <v>0</v>
      </c>
      <c r="J391" s="85"/>
    </row>
    <row r="392" spans="1:11" x14ac:dyDescent="0.25">
      <c r="A392" s="11"/>
      <c r="B392" s="11"/>
      <c r="C392" s="84" t="s">
        <v>187</v>
      </c>
      <c r="D392" s="22"/>
      <c r="E392" s="22">
        <v>0</v>
      </c>
      <c r="F392" s="22"/>
      <c r="G392" s="22">
        <v>0</v>
      </c>
      <c r="H392" s="22">
        <v>0</v>
      </c>
      <c r="I392" s="22">
        <v>0</v>
      </c>
      <c r="J392" s="85"/>
    </row>
    <row r="393" spans="1:11" x14ac:dyDescent="0.25">
      <c r="A393" s="11"/>
      <c r="B393" s="11"/>
      <c r="C393" s="84" t="s">
        <v>255</v>
      </c>
      <c r="D393" s="22"/>
      <c r="E393" s="22">
        <v>0</v>
      </c>
      <c r="F393" s="22"/>
      <c r="G393" s="22">
        <v>0</v>
      </c>
      <c r="H393" s="22">
        <v>0</v>
      </c>
      <c r="I393" s="22">
        <v>0</v>
      </c>
      <c r="J393" s="85"/>
    </row>
    <row r="394" spans="1:11" x14ac:dyDescent="0.25">
      <c r="A394" s="11"/>
      <c r="B394" s="11"/>
      <c r="C394" s="84" t="s">
        <v>362</v>
      </c>
      <c r="D394" s="72">
        <v>260.60000000000002</v>
      </c>
      <c r="E394" s="72">
        <v>270.3</v>
      </c>
      <c r="F394" s="72"/>
      <c r="G394" s="72">
        <v>270.3</v>
      </c>
      <c r="H394" s="72">
        <v>0</v>
      </c>
      <c r="I394" s="72">
        <v>0</v>
      </c>
      <c r="J394" s="85"/>
    </row>
    <row r="395" spans="1:11" x14ac:dyDescent="0.25">
      <c r="A395" s="11"/>
      <c r="B395" s="11"/>
      <c r="C395" s="84" t="s">
        <v>369</v>
      </c>
      <c r="D395" s="22"/>
      <c r="E395" s="22">
        <v>0</v>
      </c>
      <c r="F395" s="22"/>
      <c r="G395" s="22">
        <v>0</v>
      </c>
      <c r="H395" s="22">
        <v>0</v>
      </c>
      <c r="I395" s="22">
        <v>0</v>
      </c>
      <c r="J395" s="85"/>
    </row>
    <row r="396" spans="1:11" ht="26.25" x14ac:dyDescent="0.25">
      <c r="A396" s="49" t="s">
        <v>373</v>
      </c>
      <c r="B396" s="49"/>
      <c r="C396" s="82" t="s">
        <v>374</v>
      </c>
      <c r="D396" s="51" t="e">
        <f>D397+D401+#REF!+D420</f>
        <v>#REF!</v>
      </c>
      <c r="E396" s="51">
        <f>E397+E401+E420</f>
        <v>6801</v>
      </c>
      <c r="F396" s="453">
        <f>F397+F401+F420</f>
        <v>4450.9054999999998</v>
      </c>
      <c r="G396" s="447">
        <f>G397+G401+G420</f>
        <v>11251.905500000001</v>
      </c>
      <c r="H396" s="51">
        <f t="shared" ref="H396:I396" si="81">H397+H401+H420</f>
        <v>4933</v>
      </c>
      <c r="I396" s="51">
        <f t="shared" si="81"/>
        <v>5102</v>
      </c>
    </row>
    <row r="397" spans="1:11" ht="40.15" hidden="1" x14ac:dyDescent="0.3">
      <c r="A397" s="52" t="s">
        <v>375</v>
      </c>
      <c r="B397" s="52"/>
      <c r="C397" s="33" t="s">
        <v>376</v>
      </c>
      <c r="D397" s="25" t="e">
        <f t="shared" ref="D397:I397" si="82">D398</f>
        <v>#REF!</v>
      </c>
      <c r="E397" s="25">
        <f t="shared" si="82"/>
        <v>0</v>
      </c>
      <c r="F397" s="454">
        <f t="shared" si="82"/>
        <v>0</v>
      </c>
      <c r="G397" s="442">
        <f t="shared" si="82"/>
        <v>0</v>
      </c>
      <c r="H397" s="25">
        <f t="shared" si="82"/>
        <v>0</v>
      </c>
      <c r="I397" s="25">
        <f t="shared" si="82"/>
        <v>0</v>
      </c>
      <c r="J397" s="63"/>
      <c r="K397" s="63"/>
    </row>
    <row r="398" spans="1:11" ht="27" hidden="1" x14ac:dyDescent="0.3">
      <c r="A398" s="11" t="s">
        <v>377</v>
      </c>
      <c r="B398" s="20"/>
      <c r="C398" s="84" t="s">
        <v>378</v>
      </c>
      <c r="D398" s="22" t="e">
        <f>#REF!</f>
        <v>#REF!</v>
      </c>
      <c r="E398" s="22">
        <f>1500-1500</f>
        <v>0</v>
      </c>
      <c r="F398" s="455">
        <f>1500-1500</f>
        <v>0</v>
      </c>
      <c r="G398" s="439">
        <f>1500-1500</f>
        <v>0</v>
      </c>
      <c r="H398" s="22">
        <f>1500-1500</f>
        <v>0</v>
      </c>
      <c r="I398" s="22">
        <f>1500-1500</f>
        <v>0</v>
      </c>
      <c r="J398" s="63"/>
      <c r="K398" s="63"/>
    </row>
    <row r="399" spans="1:11" ht="14.45" hidden="1" x14ac:dyDescent="0.3">
      <c r="A399" s="11"/>
      <c r="B399" s="36"/>
      <c r="C399" s="3" t="s">
        <v>379</v>
      </c>
      <c r="D399" s="22"/>
      <c r="E399" s="22"/>
      <c r="F399" s="455"/>
      <c r="G399" s="439"/>
      <c r="H399" s="22"/>
      <c r="I399" s="22"/>
      <c r="J399" s="63"/>
      <c r="K399" s="63"/>
    </row>
    <row r="400" spans="1:11" ht="14.45" hidden="1" x14ac:dyDescent="0.3">
      <c r="A400" s="11"/>
      <c r="B400" s="36"/>
      <c r="C400" s="12" t="s">
        <v>121</v>
      </c>
      <c r="D400" s="72"/>
      <c r="E400" s="72"/>
      <c r="F400" s="456"/>
      <c r="G400" s="440"/>
      <c r="H400" s="72"/>
      <c r="I400" s="72"/>
      <c r="J400" s="63"/>
      <c r="K400" s="63"/>
    </row>
    <row r="401" spans="1:9" ht="26.25" x14ac:dyDescent="0.25">
      <c r="A401" s="52" t="s">
        <v>380</v>
      </c>
      <c r="B401" s="52"/>
      <c r="C401" s="33" t="s">
        <v>381</v>
      </c>
      <c r="D401" s="25" t="e">
        <f>#REF!+#REF!+D416+D418+#REF!+D411</f>
        <v>#REF!</v>
      </c>
      <c r="E401" s="25">
        <f>E416+E418+E411</f>
        <v>4290</v>
      </c>
      <c r="F401" s="454">
        <f>F416+F418+F411+F402</f>
        <v>4450.9054999999998</v>
      </c>
      <c r="G401" s="442">
        <f>G416+G418+G411+G402</f>
        <v>8740.9055000000008</v>
      </c>
      <c r="H401" s="25">
        <f t="shared" ref="H401:I401" si="83">H416+H418+H411</f>
        <v>4425.6000000000004</v>
      </c>
      <c r="I401" s="25">
        <f t="shared" si="83"/>
        <v>5102</v>
      </c>
    </row>
    <row r="402" spans="1:9" s="62" customFormat="1" x14ac:dyDescent="0.25">
      <c r="A402" s="11" t="s">
        <v>1397</v>
      </c>
      <c r="B402" s="11"/>
      <c r="C402" s="31" t="s">
        <v>1396</v>
      </c>
      <c r="D402" s="22"/>
      <c r="E402" s="22"/>
      <c r="F402" s="457">
        <f>F403+F407</f>
        <v>4450.9054999999998</v>
      </c>
      <c r="G402" s="439">
        <f>G403+G407</f>
        <v>4450.9054999999998</v>
      </c>
      <c r="H402" s="22">
        <v>0</v>
      </c>
      <c r="I402" s="22">
        <v>0</v>
      </c>
    </row>
    <row r="403" spans="1:9" s="62" customFormat="1" ht="26.25" x14ac:dyDescent="0.25">
      <c r="A403" s="11"/>
      <c r="B403" s="11" t="s">
        <v>344</v>
      </c>
      <c r="C403" s="2" t="s">
        <v>345</v>
      </c>
      <c r="D403" s="22"/>
      <c r="E403" s="22"/>
      <c r="F403" s="457">
        <f>SUM(F404+F405+F406)</f>
        <v>3850.9144999999999</v>
      </c>
      <c r="G403" s="439">
        <f>SUM(G404+G405+G406)</f>
        <v>3850.9144999999999</v>
      </c>
      <c r="H403" s="22">
        <v>0</v>
      </c>
      <c r="I403" s="22">
        <v>0</v>
      </c>
    </row>
    <row r="404" spans="1:9" s="62" customFormat="1" x14ac:dyDescent="0.25">
      <c r="A404" s="11"/>
      <c r="B404" s="11"/>
      <c r="C404" s="84" t="s">
        <v>255</v>
      </c>
      <c r="D404" s="22"/>
      <c r="E404" s="22"/>
      <c r="F404" s="446">
        <v>3465.8229999999999</v>
      </c>
      <c r="G404" s="439">
        <v>3465.8229999999999</v>
      </c>
      <c r="H404" s="22">
        <v>0</v>
      </c>
      <c r="I404" s="22">
        <v>0</v>
      </c>
    </row>
    <row r="405" spans="1:9" s="62" customFormat="1" x14ac:dyDescent="0.25">
      <c r="A405" s="11"/>
      <c r="B405" s="11"/>
      <c r="C405" s="84" t="s">
        <v>362</v>
      </c>
      <c r="D405" s="22"/>
      <c r="E405" s="22"/>
      <c r="F405" s="463">
        <v>192.54599999999999</v>
      </c>
      <c r="G405" s="439">
        <v>192.54599999999999</v>
      </c>
      <c r="H405" s="22">
        <v>0</v>
      </c>
      <c r="I405" s="22">
        <v>0</v>
      </c>
    </row>
    <row r="406" spans="1:9" s="62" customFormat="1" x14ac:dyDescent="0.25">
      <c r="A406" s="11"/>
      <c r="B406" s="11"/>
      <c r="C406" s="84" t="s">
        <v>369</v>
      </c>
      <c r="D406" s="22"/>
      <c r="E406" s="22"/>
      <c r="F406" s="446">
        <v>192.5455</v>
      </c>
      <c r="G406" s="439">
        <v>192.5455</v>
      </c>
      <c r="H406" s="22">
        <v>0</v>
      </c>
      <c r="I406" s="22">
        <v>0</v>
      </c>
    </row>
    <row r="407" spans="1:9" s="62" customFormat="1" ht="26.25" x14ac:dyDescent="0.25">
      <c r="A407" s="11"/>
      <c r="B407" s="11" t="s">
        <v>658</v>
      </c>
      <c r="C407" s="2" t="s">
        <v>659</v>
      </c>
      <c r="D407" s="22"/>
      <c r="E407" s="22"/>
      <c r="F407" s="463">
        <f>F408+F409+F410</f>
        <v>599.99099999999999</v>
      </c>
      <c r="G407" s="439">
        <f>G408+G409+G410</f>
        <v>599.99099999999999</v>
      </c>
      <c r="H407" s="22">
        <v>0</v>
      </c>
      <c r="I407" s="22">
        <v>0</v>
      </c>
    </row>
    <row r="408" spans="1:9" s="62" customFormat="1" x14ac:dyDescent="0.25">
      <c r="A408" s="11"/>
      <c r="B408" s="11"/>
      <c r="C408" s="84" t="s">
        <v>255</v>
      </c>
      <c r="D408" s="22"/>
      <c r="E408" s="22"/>
      <c r="F408" s="446">
        <v>539.99099999999999</v>
      </c>
      <c r="G408" s="439">
        <v>539.99099999999999</v>
      </c>
      <c r="H408" s="22">
        <v>0</v>
      </c>
      <c r="I408" s="22">
        <v>0</v>
      </c>
    </row>
    <row r="409" spans="1:9" s="62" customFormat="1" x14ac:dyDescent="0.25">
      <c r="A409" s="11"/>
      <c r="B409" s="11"/>
      <c r="C409" s="84" t="s">
        <v>362</v>
      </c>
      <c r="D409" s="22"/>
      <c r="E409" s="22"/>
      <c r="F409" s="463">
        <v>30</v>
      </c>
      <c r="G409" s="22">
        <v>30</v>
      </c>
      <c r="H409" s="22">
        <v>0</v>
      </c>
      <c r="I409" s="22">
        <v>0</v>
      </c>
    </row>
    <row r="410" spans="1:9" s="62" customFormat="1" x14ac:dyDescent="0.25">
      <c r="A410" s="11"/>
      <c r="B410" s="11"/>
      <c r="C410" s="84" t="s">
        <v>369</v>
      </c>
      <c r="D410" s="22"/>
      <c r="E410" s="22"/>
      <c r="F410" s="446">
        <v>30</v>
      </c>
      <c r="G410" s="439">
        <v>30</v>
      </c>
      <c r="H410" s="22">
        <v>0</v>
      </c>
      <c r="I410" s="22">
        <v>0</v>
      </c>
    </row>
    <row r="411" spans="1:9" ht="39" x14ac:dyDescent="0.25">
      <c r="A411" s="11" t="s">
        <v>386</v>
      </c>
      <c r="B411" s="20"/>
      <c r="C411" s="88" t="s">
        <v>382</v>
      </c>
      <c r="D411" s="72" t="e">
        <f>#REF!</f>
        <v>#REF!</v>
      </c>
      <c r="E411" s="72">
        <f>E415</f>
        <v>0</v>
      </c>
      <c r="F411" s="72"/>
      <c r="G411" s="72">
        <f>G415</f>
        <v>0</v>
      </c>
      <c r="H411" s="72">
        <f>H412</f>
        <v>448</v>
      </c>
      <c r="I411" s="72">
        <f>I412</f>
        <v>463</v>
      </c>
    </row>
    <row r="412" spans="1:9" ht="26.25" x14ac:dyDescent="0.25">
      <c r="A412" s="11"/>
      <c r="B412" s="1" t="s">
        <v>344</v>
      </c>
      <c r="C412" s="2" t="s">
        <v>345</v>
      </c>
      <c r="D412" s="72"/>
      <c r="E412" s="72">
        <v>0</v>
      </c>
      <c r="F412" s="72"/>
      <c r="G412" s="72">
        <v>0</v>
      </c>
      <c r="H412" s="72">
        <f>H415</f>
        <v>448</v>
      </c>
      <c r="I412" s="72">
        <f>I415</f>
        <v>463</v>
      </c>
    </row>
    <row r="413" spans="1:9" ht="14.45" hidden="1" x14ac:dyDescent="0.3">
      <c r="A413" s="11"/>
      <c r="B413" s="1"/>
      <c r="C413" s="2"/>
      <c r="D413" s="72"/>
      <c r="E413" s="72"/>
      <c r="F413" s="72"/>
      <c r="G413" s="72"/>
      <c r="H413" s="72"/>
      <c r="I413" s="72"/>
    </row>
    <row r="414" spans="1:9" ht="14.45" hidden="1" x14ac:dyDescent="0.3">
      <c r="A414" s="11"/>
      <c r="B414" s="20"/>
      <c r="C414" s="15" t="s">
        <v>255</v>
      </c>
      <c r="D414" s="22"/>
      <c r="E414" s="22"/>
      <c r="F414" s="22"/>
      <c r="G414" s="22"/>
      <c r="H414" s="22"/>
      <c r="I414" s="22"/>
    </row>
    <row r="415" spans="1:9" x14ac:dyDescent="0.25">
      <c r="A415" s="11"/>
      <c r="B415" s="20"/>
      <c r="C415" s="15" t="s">
        <v>121</v>
      </c>
      <c r="D415" s="22"/>
      <c r="E415" s="22">
        <f>2200-2200</f>
        <v>0</v>
      </c>
      <c r="F415" s="22"/>
      <c r="G415" s="72">
        <f>2200-2200</f>
        <v>0</v>
      </c>
      <c r="H415" s="72">
        <f>1248-800</f>
        <v>448</v>
      </c>
      <c r="I415" s="72">
        <f>1297-350-484</f>
        <v>463</v>
      </c>
    </row>
    <row r="416" spans="1:9" ht="25.5" x14ac:dyDescent="0.25">
      <c r="A416" s="26" t="s">
        <v>383</v>
      </c>
      <c r="B416" s="26"/>
      <c r="C416" s="3" t="s">
        <v>635</v>
      </c>
      <c r="D416" s="72" t="e">
        <f>#REF!</f>
        <v>#REF!</v>
      </c>
      <c r="E416" s="72">
        <v>2690</v>
      </c>
      <c r="F416" s="72"/>
      <c r="G416" s="72">
        <v>2690</v>
      </c>
      <c r="H416" s="72">
        <v>2797.6</v>
      </c>
      <c r="I416" s="72">
        <v>2909</v>
      </c>
    </row>
    <row r="417" spans="1:9" ht="26.25" x14ac:dyDescent="0.25">
      <c r="A417" s="26"/>
      <c r="B417" s="1" t="s">
        <v>344</v>
      </c>
      <c r="C417" s="2" t="s">
        <v>345</v>
      </c>
      <c r="D417" s="72"/>
      <c r="E417" s="72">
        <v>2690</v>
      </c>
      <c r="F417" s="72"/>
      <c r="G417" s="72">
        <v>2690</v>
      </c>
      <c r="H417" s="72">
        <v>2797.6</v>
      </c>
      <c r="I417" s="72">
        <v>2909</v>
      </c>
    </row>
    <row r="418" spans="1:9" ht="25.5" x14ac:dyDescent="0.25">
      <c r="A418" s="26" t="s">
        <v>384</v>
      </c>
      <c r="B418" s="26"/>
      <c r="C418" s="3" t="s">
        <v>385</v>
      </c>
      <c r="D418" s="72" t="e">
        <f>#REF!</f>
        <v>#REF!</v>
      </c>
      <c r="E418" s="72">
        <v>1600</v>
      </c>
      <c r="F418" s="72"/>
      <c r="G418" s="72">
        <v>1600</v>
      </c>
      <c r="H418" s="72">
        <f>H419</f>
        <v>1180</v>
      </c>
      <c r="I418" s="72">
        <v>1730</v>
      </c>
    </row>
    <row r="419" spans="1:9" ht="26.25" x14ac:dyDescent="0.25">
      <c r="A419" s="26"/>
      <c r="B419" s="1" t="s">
        <v>344</v>
      </c>
      <c r="C419" s="2" t="s">
        <v>345</v>
      </c>
      <c r="D419" s="72"/>
      <c r="E419" s="72">
        <v>1600</v>
      </c>
      <c r="F419" s="72"/>
      <c r="G419" s="72">
        <v>1600</v>
      </c>
      <c r="H419" s="72">
        <f>1664-484</f>
        <v>1180</v>
      </c>
      <c r="I419" s="72">
        <v>1730</v>
      </c>
    </row>
    <row r="420" spans="1:9" ht="26.25" customHeight="1" x14ac:dyDescent="0.25">
      <c r="A420" s="52" t="s">
        <v>387</v>
      </c>
      <c r="B420" s="56"/>
      <c r="C420" s="33" t="s">
        <v>388</v>
      </c>
      <c r="D420" s="25" t="e">
        <f t="shared" ref="D420:I420" si="84">D421+D426+D427+D429+D430+D422+D432+D435</f>
        <v>#REF!</v>
      </c>
      <c r="E420" s="25">
        <f>E421+E426+E427+E429+E430+E422+E432+E434</f>
        <v>2511</v>
      </c>
      <c r="F420" s="25"/>
      <c r="G420" s="25">
        <f>G421+G426+G427+G429+G430+G422+G432+G434</f>
        <v>2511</v>
      </c>
      <c r="H420" s="25">
        <f>H421+H426+H427+H429+H430+H422+H432+H434</f>
        <v>507.4</v>
      </c>
      <c r="I420" s="25">
        <f t="shared" si="84"/>
        <v>0</v>
      </c>
    </row>
    <row r="421" spans="1:9" x14ac:dyDescent="0.25">
      <c r="A421" s="11" t="s">
        <v>389</v>
      </c>
      <c r="B421" s="89"/>
      <c r="C421" s="88" t="s">
        <v>390</v>
      </c>
      <c r="D421" s="72" t="e">
        <f>#REF!</f>
        <v>#REF!</v>
      </c>
      <c r="E421" s="72">
        <v>300</v>
      </c>
      <c r="F421" s="72"/>
      <c r="G421" s="72">
        <v>300</v>
      </c>
      <c r="H421" s="72">
        <v>0</v>
      </c>
      <c r="I421" s="72">
        <v>0</v>
      </c>
    </row>
    <row r="422" spans="1:9" ht="40.15" hidden="1" x14ac:dyDescent="0.3">
      <c r="A422" s="11" t="s">
        <v>391</v>
      </c>
      <c r="B422" s="36"/>
      <c r="C422" s="88" t="s">
        <v>392</v>
      </c>
      <c r="D422" s="22"/>
      <c r="E422" s="22">
        <v>0</v>
      </c>
      <c r="F422" s="22"/>
      <c r="G422" s="22">
        <v>0</v>
      </c>
      <c r="H422" s="22">
        <v>0</v>
      </c>
      <c r="I422" s="22">
        <v>0</v>
      </c>
    </row>
    <row r="423" spans="1:9" ht="14.45" hidden="1" x14ac:dyDescent="0.3">
      <c r="A423" s="20"/>
      <c r="B423" s="36"/>
      <c r="C423" s="15" t="s">
        <v>255</v>
      </c>
      <c r="D423" s="22"/>
      <c r="E423" s="22"/>
      <c r="F423" s="22"/>
      <c r="G423" s="22"/>
      <c r="H423" s="22"/>
      <c r="I423" s="22"/>
    </row>
    <row r="424" spans="1:9" ht="14.45" hidden="1" x14ac:dyDescent="0.3">
      <c r="A424" s="20"/>
      <c r="B424" s="36"/>
      <c r="C424" s="15" t="s">
        <v>121</v>
      </c>
      <c r="D424" s="22"/>
      <c r="E424" s="22"/>
      <c r="F424" s="22"/>
      <c r="G424" s="22"/>
      <c r="H424" s="22"/>
      <c r="I424" s="22"/>
    </row>
    <row r="425" spans="1:9" ht="26.25" x14ac:dyDescent="0.25">
      <c r="A425" s="20"/>
      <c r="B425" s="1" t="s">
        <v>344</v>
      </c>
      <c r="C425" s="2" t="s">
        <v>345</v>
      </c>
      <c r="D425" s="22"/>
      <c r="E425" s="72">
        <v>300</v>
      </c>
      <c r="F425" s="72"/>
      <c r="G425" s="72">
        <v>300</v>
      </c>
      <c r="H425" s="72">
        <v>0</v>
      </c>
      <c r="I425" s="72">
        <v>0</v>
      </c>
    </row>
    <row r="426" spans="1:9" x14ac:dyDescent="0.25">
      <c r="A426" s="11" t="s">
        <v>393</v>
      </c>
      <c r="B426" s="36"/>
      <c r="C426" s="88" t="s">
        <v>394</v>
      </c>
      <c r="D426" s="72" t="e">
        <f>#REF!</f>
        <v>#REF!</v>
      </c>
      <c r="E426" s="72">
        <v>286.2</v>
      </c>
      <c r="F426" s="72"/>
      <c r="G426" s="72">
        <v>286.2</v>
      </c>
      <c r="H426" s="72">
        <v>400</v>
      </c>
      <c r="I426" s="72">
        <v>0</v>
      </c>
    </row>
    <row r="427" spans="1:9" ht="27" hidden="1" x14ac:dyDescent="0.3">
      <c r="A427" s="11" t="s">
        <v>395</v>
      </c>
      <c r="B427" s="36"/>
      <c r="C427" s="88" t="s">
        <v>396</v>
      </c>
      <c r="D427" s="72" t="e">
        <f>#REF!</f>
        <v>#REF!</v>
      </c>
      <c r="E427" s="72">
        <f>50-50</f>
        <v>0</v>
      </c>
      <c r="F427" s="72"/>
      <c r="G427" s="72">
        <f>50-50</f>
        <v>0</v>
      </c>
      <c r="H427" s="72">
        <f>52-52</f>
        <v>0</v>
      </c>
      <c r="I427" s="72">
        <f>54-54</f>
        <v>0</v>
      </c>
    </row>
    <row r="428" spans="1:9" ht="26.25" x14ac:dyDescent="0.25">
      <c r="A428" s="11"/>
      <c r="B428" s="1" t="s">
        <v>344</v>
      </c>
      <c r="C428" s="2" t="s">
        <v>345</v>
      </c>
      <c r="D428" s="72"/>
      <c r="E428" s="72">
        <v>286.2</v>
      </c>
      <c r="F428" s="72"/>
      <c r="G428" s="72">
        <v>286.2</v>
      </c>
      <c r="H428" s="72">
        <v>400</v>
      </c>
      <c r="I428" s="72">
        <v>0</v>
      </c>
    </row>
    <row r="429" spans="1:9" ht="26.25" x14ac:dyDescent="0.25">
      <c r="A429" s="11" t="s">
        <v>397</v>
      </c>
      <c r="B429" s="36"/>
      <c r="C429" s="88" t="s">
        <v>398</v>
      </c>
      <c r="D429" s="72" t="e">
        <f>#REF!</f>
        <v>#REF!</v>
      </c>
      <c r="E429" s="72">
        <v>1135.7</v>
      </c>
      <c r="F429" s="72"/>
      <c r="G429" s="72">
        <v>1135.7</v>
      </c>
      <c r="H429" s="72">
        <v>0</v>
      </c>
      <c r="I429" s="72">
        <v>0</v>
      </c>
    </row>
    <row r="430" spans="1:9" ht="26.45" hidden="1" x14ac:dyDescent="0.3">
      <c r="A430" s="30" t="s">
        <v>399</v>
      </c>
      <c r="B430" s="26"/>
      <c r="C430" s="12" t="s">
        <v>400</v>
      </c>
      <c r="D430" s="72">
        <v>0</v>
      </c>
      <c r="E430" s="72">
        <v>0</v>
      </c>
      <c r="F430" s="72"/>
      <c r="G430" s="72">
        <v>0</v>
      </c>
      <c r="H430" s="72">
        <v>0</v>
      </c>
      <c r="I430" s="72">
        <v>0</v>
      </c>
    </row>
    <row r="431" spans="1:9" ht="26.25" x14ac:dyDescent="0.25">
      <c r="A431" s="30"/>
      <c r="B431" s="1" t="s">
        <v>344</v>
      </c>
      <c r="C431" s="2" t="s">
        <v>345</v>
      </c>
      <c r="D431" s="72"/>
      <c r="E431" s="72">
        <v>1135.7</v>
      </c>
      <c r="F431" s="72"/>
      <c r="G431" s="72">
        <v>1135.7</v>
      </c>
      <c r="H431" s="72">
        <v>0</v>
      </c>
      <c r="I431" s="72">
        <v>0</v>
      </c>
    </row>
    <row r="432" spans="1:9" ht="25.5" x14ac:dyDescent="0.25">
      <c r="A432" s="26" t="s">
        <v>636</v>
      </c>
      <c r="B432" s="30"/>
      <c r="C432" s="3" t="s">
        <v>401</v>
      </c>
      <c r="D432" s="72"/>
      <c r="E432" s="72">
        <v>681.3</v>
      </c>
      <c r="F432" s="72"/>
      <c r="G432" s="72">
        <v>681.3</v>
      </c>
      <c r="H432" s="72">
        <v>0</v>
      </c>
      <c r="I432" s="72">
        <v>0</v>
      </c>
    </row>
    <row r="433" spans="1:11" ht="26.25" x14ac:dyDescent="0.25">
      <c r="A433" s="26"/>
      <c r="B433" s="1" t="s">
        <v>344</v>
      </c>
      <c r="C433" s="2" t="s">
        <v>345</v>
      </c>
      <c r="D433" s="72"/>
      <c r="E433" s="72">
        <v>681.3</v>
      </c>
      <c r="F433" s="72"/>
      <c r="G433" s="72">
        <v>681.3</v>
      </c>
      <c r="H433" s="72">
        <v>0</v>
      </c>
      <c r="I433" s="72">
        <v>0</v>
      </c>
    </row>
    <row r="434" spans="1:11" ht="39" x14ac:dyDescent="0.25">
      <c r="A434" s="52" t="s">
        <v>402</v>
      </c>
      <c r="B434" s="56"/>
      <c r="C434" s="33" t="s">
        <v>661</v>
      </c>
      <c r="D434" s="25"/>
      <c r="E434" s="25">
        <f>E435</f>
        <v>107.8</v>
      </c>
      <c r="F434" s="25"/>
      <c r="G434" s="25">
        <f>G435</f>
        <v>107.8</v>
      </c>
      <c r="H434" s="25">
        <f t="shared" ref="H434:I434" si="85">H435</f>
        <v>107.4</v>
      </c>
      <c r="I434" s="25">
        <f t="shared" si="85"/>
        <v>0</v>
      </c>
    </row>
    <row r="435" spans="1:11" ht="38.25" x14ac:dyDescent="0.25">
      <c r="A435" s="26" t="s">
        <v>637</v>
      </c>
      <c r="B435" s="26"/>
      <c r="C435" s="3" t="s">
        <v>638</v>
      </c>
      <c r="D435" s="72">
        <f t="shared" ref="D435" si="86">D437</f>
        <v>0</v>
      </c>
      <c r="E435" s="72">
        <f>E437</f>
        <v>107.8</v>
      </c>
      <c r="F435" s="72"/>
      <c r="G435" s="72">
        <f>G437</f>
        <v>107.8</v>
      </c>
      <c r="H435" s="72">
        <f t="shared" ref="H435:I435" si="87">H437</f>
        <v>107.4</v>
      </c>
      <c r="I435" s="72">
        <f t="shared" si="87"/>
        <v>0</v>
      </c>
    </row>
    <row r="436" spans="1:11" ht="26.25" x14ac:dyDescent="0.25">
      <c r="A436" s="26"/>
      <c r="B436" s="1" t="s">
        <v>344</v>
      </c>
      <c r="C436" s="2" t="s">
        <v>345</v>
      </c>
      <c r="D436" s="72"/>
      <c r="E436" s="72">
        <v>107.8</v>
      </c>
      <c r="F436" s="72"/>
      <c r="G436" s="72">
        <v>107.8</v>
      </c>
      <c r="H436" s="72">
        <v>107.4</v>
      </c>
      <c r="I436" s="72">
        <v>0</v>
      </c>
    </row>
    <row r="437" spans="1:11" x14ac:dyDescent="0.25">
      <c r="A437" s="20"/>
      <c r="B437" s="36"/>
      <c r="C437" s="15" t="s">
        <v>121</v>
      </c>
      <c r="D437" s="22"/>
      <c r="E437" s="22">
        <v>107.8</v>
      </c>
      <c r="F437" s="22"/>
      <c r="G437" s="22">
        <v>107.8</v>
      </c>
      <c r="H437" s="22">
        <v>107.4</v>
      </c>
      <c r="I437" s="22">
        <v>0</v>
      </c>
    </row>
    <row r="438" spans="1:11" ht="26.25" x14ac:dyDescent="0.25">
      <c r="A438" s="49" t="s">
        <v>403</v>
      </c>
      <c r="B438" s="49"/>
      <c r="C438" s="82" t="s">
        <v>404</v>
      </c>
      <c r="D438" s="51" t="e">
        <f>D439+D456+D474+D471</f>
        <v>#REF!</v>
      </c>
      <c r="E438" s="51">
        <f>E439+E456+E474+E471</f>
        <v>22704.6</v>
      </c>
      <c r="F438" s="51"/>
      <c r="G438" s="51">
        <f>G439+G456+G474+G471</f>
        <v>22704.6</v>
      </c>
      <c r="H438" s="51">
        <f>H439+H456+H474+H471</f>
        <v>24910.399999999998</v>
      </c>
      <c r="I438" s="51">
        <f>I439+I456+I474+I471</f>
        <v>19686.699999999997</v>
      </c>
    </row>
    <row r="439" spans="1:11" ht="39" x14ac:dyDescent="0.25">
      <c r="A439" s="52" t="s">
        <v>405</v>
      </c>
      <c r="B439" s="52"/>
      <c r="C439" s="33" t="s">
        <v>406</v>
      </c>
      <c r="D439" s="25" t="e">
        <f t="shared" ref="D439:I439" si="88">D440+D442+D445+D449+D441+D450+D454</f>
        <v>#REF!</v>
      </c>
      <c r="E439" s="25">
        <f t="shared" si="88"/>
        <v>4201.2</v>
      </c>
      <c r="F439" s="25"/>
      <c r="G439" s="25">
        <f t="shared" ref="G439" si="89">G440+G442+G445+G449+G441+G450+G454</f>
        <v>4201.2</v>
      </c>
      <c r="H439" s="25">
        <f t="shared" si="88"/>
        <v>3278</v>
      </c>
      <c r="I439" s="25">
        <f t="shared" si="88"/>
        <v>3409.1</v>
      </c>
    </row>
    <row r="440" spans="1:11" ht="26.25" x14ac:dyDescent="0.25">
      <c r="A440" s="11" t="s">
        <v>407</v>
      </c>
      <c r="B440" s="11"/>
      <c r="C440" s="88" t="s">
        <v>408</v>
      </c>
      <c r="D440" s="72" t="e">
        <f>#REF!</f>
        <v>#REF!</v>
      </c>
      <c r="E440" s="72">
        <v>3091.9</v>
      </c>
      <c r="F440" s="72"/>
      <c r="G440" s="72">
        <v>3091.9</v>
      </c>
      <c r="H440" s="72">
        <v>3215.6</v>
      </c>
      <c r="I440" s="72">
        <v>3344.2</v>
      </c>
      <c r="J440" s="63"/>
      <c r="K440" s="63"/>
    </row>
    <row r="441" spans="1:11" ht="27" hidden="1" x14ac:dyDescent="0.3">
      <c r="A441" s="26" t="s">
        <v>409</v>
      </c>
      <c r="B441" s="11"/>
      <c r="C441" s="5" t="s">
        <v>410</v>
      </c>
      <c r="D441" s="22" t="e">
        <f>SUM(#REF!)</f>
        <v>#REF!</v>
      </c>
      <c r="E441" s="22">
        <v>0</v>
      </c>
      <c r="F441" s="22"/>
      <c r="G441" s="22">
        <v>0</v>
      </c>
      <c r="H441" s="22">
        <v>0</v>
      </c>
      <c r="I441" s="22">
        <v>0</v>
      </c>
    </row>
    <row r="442" spans="1:11" ht="27" hidden="1" x14ac:dyDescent="0.3">
      <c r="A442" s="11" t="s">
        <v>411</v>
      </c>
      <c r="B442" s="11"/>
      <c r="C442" s="5" t="s">
        <v>412</v>
      </c>
      <c r="D442" s="22">
        <v>0</v>
      </c>
      <c r="E442" s="22">
        <v>0</v>
      </c>
      <c r="F442" s="22"/>
      <c r="G442" s="22">
        <v>0</v>
      </c>
      <c r="H442" s="22">
        <v>0</v>
      </c>
      <c r="I442" s="22">
        <v>0</v>
      </c>
    </row>
    <row r="443" spans="1:11" ht="14.45" hidden="1" x14ac:dyDescent="0.3">
      <c r="A443" s="20"/>
      <c r="B443" s="11"/>
      <c r="C443" s="5" t="s">
        <v>188</v>
      </c>
      <c r="D443" s="22">
        <v>0</v>
      </c>
      <c r="E443" s="22"/>
      <c r="F443" s="22"/>
      <c r="G443" s="22"/>
      <c r="H443" s="22"/>
      <c r="I443" s="22"/>
    </row>
    <row r="444" spans="1:11" ht="14.45" hidden="1" x14ac:dyDescent="0.3">
      <c r="A444" s="20"/>
      <c r="B444" s="11"/>
      <c r="C444" s="5" t="s">
        <v>121</v>
      </c>
      <c r="D444" s="22">
        <v>0</v>
      </c>
      <c r="E444" s="22"/>
      <c r="F444" s="22"/>
      <c r="G444" s="22"/>
      <c r="H444" s="22"/>
      <c r="I444" s="22"/>
    </row>
    <row r="445" spans="1:11" ht="27" hidden="1" x14ac:dyDescent="0.3">
      <c r="A445" s="11" t="s">
        <v>413</v>
      </c>
      <c r="B445" s="11"/>
      <c r="C445" s="5" t="s">
        <v>414</v>
      </c>
      <c r="D445" s="22" t="e">
        <f>#REF!</f>
        <v>#REF!</v>
      </c>
      <c r="E445" s="22">
        <v>0</v>
      </c>
      <c r="F445" s="22"/>
      <c r="G445" s="22">
        <v>0</v>
      </c>
      <c r="H445" s="22">
        <v>0</v>
      </c>
      <c r="I445" s="22"/>
    </row>
    <row r="446" spans="1:11" ht="14.45" hidden="1" x14ac:dyDescent="0.3">
      <c r="A446" s="20"/>
      <c r="B446" s="11"/>
      <c r="C446" s="5" t="s">
        <v>188</v>
      </c>
      <c r="D446" s="22">
        <v>1140</v>
      </c>
      <c r="E446" s="22"/>
      <c r="F446" s="22"/>
      <c r="G446" s="22"/>
      <c r="H446" s="22"/>
      <c r="I446" s="22"/>
    </row>
    <row r="447" spans="1:11" ht="14.45" hidden="1" x14ac:dyDescent="0.3">
      <c r="A447" s="20"/>
      <c r="B447" s="11"/>
      <c r="C447" s="5" t="s">
        <v>121</v>
      </c>
      <c r="D447" s="22">
        <v>60</v>
      </c>
      <c r="E447" s="22"/>
      <c r="F447" s="22"/>
      <c r="G447" s="22"/>
      <c r="H447" s="22"/>
      <c r="I447" s="22"/>
    </row>
    <row r="448" spans="1:11" ht="26.25" x14ac:dyDescent="0.25">
      <c r="A448" s="20"/>
      <c r="B448" s="1" t="s">
        <v>344</v>
      </c>
      <c r="C448" s="2" t="s">
        <v>345</v>
      </c>
      <c r="D448" s="22"/>
      <c r="E448" s="72">
        <v>3091.9</v>
      </c>
      <c r="F448" s="72"/>
      <c r="G448" s="72">
        <v>3091.9</v>
      </c>
      <c r="H448" s="72">
        <v>3215.6</v>
      </c>
      <c r="I448" s="72">
        <v>3344.2</v>
      </c>
    </row>
    <row r="449" spans="1:9" ht="26.25" x14ac:dyDescent="0.25">
      <c r="A449" s="11" t="s">
        <v>415</v>
      </c>
      <c r="B449" s="11"/>
      <c r="C449" s="31" t="s">
        <v>416</v>
      </c>
      <c r="D449" s="22" t="e">
        <f>#REF!</f>
        <v>#REF!</v>
      </c>
      <c r="E449" s="22">
        <v>564.79999999999995</v>
      </c>
      <c r="F449" s="22"/>
      <c r="G449" s="22">
        <v>564.79999999999995</v>
      </c>
      <c r="H449" s="22"/>
      <c r="I449" s="22"/>
    </row>
    <row r="450" spans="1:9" ht="40.15" hidden="1" x14ac:dyDescent="0.3">
      <c r="A450" s="26" t="s">
        <v>417</v>
      </c>
      <c r="B450" s="11"/>
      <c r="C450" s="14" t="s">
        <v>418</v>
      </c>
      <c r="D450" s="22"/>
      <c r="E450" s="22">
        <v>0</v>
      </c>
      <c r="F450" s="22"/>
      <c r="G450" s="22">
        <v>0</v>
      </c>
      <c r="H450" s="22">
        <v>0</v>
      </c>
      <c r="I450" s="22">
        <v>0</v>
      </c>
    </row>
    <row r="451" spans="1:9" ht="14.45" hidden="1" x14ac:dyDescent="0.3">
      <c r="A451" s="20"/>
      <c r="B451" s="11"/>
      <c r="C451" s="5" t="s">
        <v>188</v>
      </c>
      <c r="D451" s="22"/>
      <c r="E451" s="22"/>
      <c r="F451" s="22"/>
      <c r="G451" s="22"/>
      <c r="H451" s="22"/>
      <c r="I451" s="22"/>
    </row>
    <row r="452" spans="1:9" ht="14.45" hidden="1" x14ac:dyDescent="0.3">
      <c r="A452" s="20"/>
      <c r="B452" s="11"/>
      <c r="C452" s="5" t="s">
        <v>121</v>
      </c>
      <c r="D452" s="22"/>
      <c r="E452" s="22"/>
      <c r="F452" s="22"/>
      <c r="G452" s="22"/>
      <c r="H452" s="22"/>
      <c r="I452" s="22"/>
    </row>
    <row r="453" spans="1:9" ht="26.25" x14ac:dyDescent="0.25">
      <c r="A453" s="20"/>
      <c r="B453" s="1" t="s">
        <v>344</v>
      </c>
      <c r="C453" s="2" t="s">
        <v>345</v>
      </c>
      <c r="D453" s="22"/>
      <c r="E453" s="22">
        <v>564.79999999999995</v>
      </c>
      <c r="F453" s="22"/>
      <c r="G453" s="22">
        <v>564.79999999999995</v>
      </c>
      <c r="H453" s="22"/>
      <c r="I453" s="22"/>
    </row>
    <row r="454" spans="1:9" ht="39" x14ac:dyDescent="0.25">
      <c r="A454" s="11" t="s">
        <v>639</v>
      </c>
      <c r="B454" s="11"/>
      <c r="C454" s="5" t="s">
        <v>419</v>
      </c>
      <c r="D454" s="22"/>
      <c r="E454" s="22">
        <v>544.5</v>
      </c>
      <c r="F454" s="22"/>
      <c r="G454" s="22">
        <v>544.5</v>
      </c>
      <c r="H454" s="22">
        <v>62.4</v>
      </c>
      <c r="I454" s="22">
        <v>64.900000000000006</v>
      </c>
    </row>
    <row r="455" spans="1:9" ht="26.25" x14ac:dyDescent="0.25">
      <c r="A455" s="11"/>
      <c r="B455" s="1" t="s">
        <v>344</v>
      </c>
      <c r="C455" s="2" t="s">
        <v>345</v>
      </c>
      <c r="D455" s="22"/>
      <c r="E455" s="22">
        <v>544.5</v>
      </c>
      <c r="F455" s="22"/>
      <c r="G455" s="22">
        <v>544.5</v>
      </c>
      <c r="H455" s="22">
        <v>62.4</v>
      </c>
      <c r="I455" s="22">
        <v>64.900000000000006</v>
      </c>
    </row>
    <row r="456" spans="1:9" ht="26.25" x14ac:dyDescent="0.25">
      <c r="A456" s="52" t="s">
        <v>420</v>
      </c>
      <c r="B456" s="52"/>
      <c r="C456" s="33" t="s">
        <v>421</v>
      </c>
      <c r="D456" s="25" t="e">
        <f t="shared" ref="D456" si="90">D457+D458+D462+D463+D459+D467+D469</f>
        <v>#REF!</v>
      </c>
      <c r="E456" s="25">
        <f>E457+E458+E462+E463+E459+E465+E467+E469</f>
        <v>490.8</v>
      </c>
      <c r="F456" s="25"/>
      <c r="G456" s="25">
        <f>G457+G458+G462+G463+G459+G465+G467+G469</f>
        <v>490.8</v>
      </c>
      <c r="H456" s="25">
        <f t="shared" ref="H456:I456" si="91">H457+H458+H462+H463+H459+H465+H467+H469</f>
        <v>5885.5999999999995</v>
      </c>
      <c r="I456" s="25">
        <f t="shared" si="91"/>
        <v>530.79999999999995</v>
      </c>
    </row>
    <row r="457" spans="1:9" ht="25.5" x14ac:dyDescent="0.25">
      <c r="A457" s="11" t="s">
        <v>422</v>
      </c>
      <c r="B457" s="26"/>
      <c r="C457" s="3" t="s">
        <v>423</v>
      </c>
      <c r="D457" s="22" t="e">
        <f>#REF!</f>
        <v>#REF!</v>
      </c>
      <c r="E457" s="22">
        <v>490.8</v>
      </c>
      <c r="F457" s="22"/>
      <c r="G457" s="22">
        <v>490.8</v>
      </c>
      <c r="H457" s="22">
        <v>510.4</v>
      </c>
      <c r="I457" s="22">
        <v>530.79999999999995</v>
      </c>
    </row>
    <row r="458" spans="1:9" ht="14.45" hidden="1" x14ac:dyDescent="0.3">
      <c r="A458" s="11" t="s">
        <v>424</v>
      </c>
      <c r="B458" s="26"/>
      <c r="C458" s="3" t="s">
        <v>425</v>
      </c>
      <c r="D458" s="22">
        <v>0</v>
      </c>
      <c r="E458" s="22">
        <v>0</v>
      </c>
      <c r="F458" s="22"/>
      <c r="G458" s="22">
        <v>0</v>
      </c>
      <c r="H458" s="22">
        <v>0</v>
      </c>
      <c r="I458" s="22">
        <v>0</v>
      </c>
    </row>
    <row r="459" spans="1:9" ht="53.45" hidden="1" x14ac:dyDescent="0.3">
      <c r="A459" s="11" t="s">
        <v>426</v>
      </c>
      <c r="B459" s="26"/>
      <c r="C459" s="31" t="s">
        <v>427</v>
      </c>
      <c r="D459" s="22">
        <v>0</v>
      </c>
      <c r="E459" s="22">
        <v>0</v>
      </c>
      <c r="F459" s="22"/>
      <c r="G459" s="22">
        <v>0</v>
      </c>
      <c r="H459" s="22">
        <v>0</v>
      </c>
      <c r="I459" s="22">
        <v>0</v>
      </c>
    </row>
    <row r="460" spans="1:9" ht="14.45" hidden="1" x14ac:dyDescent="0.3">
      <c r="A460" s="11"/>
      <c r="B460" s="8"/>
      <c r="C460" s="5" t="s">
        <v>188</v>
      </c>
      <c r="D460" s="22"/>
      <c r="E460" s="22"/>
      <c r="F460" s="22"/>
      <c r="G460" s="22"/>
      <c r="H460" s="22"/>
      <c r="I460" s="22"/>
    </row>
    <row r="461" spans="1:9" ht="14.45" hidden="1" x14ac:dyDescent="0.3">
      <c r="A461" s="11"/>
      <c r="B461" s="8"/>
      <c r="C461" s="31" t="s">
        <v>121</v>
      </c>
      <c r="D461" s="22">
        <v>0</v>
      </c>
      <c r="E461" s="22"/>
      <c r="F461" s="22"/>
      <c r="G461" s="22"/>
      <c r="H461" s="22"/>
      <c r="I461" s="22"/>
    </row>
    <row r="462" spans="1:9" ht="39.6" hidden="1" x14ac:dyDescent="0.3">
      <c r="A462" s="11" t="s">
        <v>428</v>
      </c>
      <c r="B462" s="26"/>
      <c r="C462" s="3" t="s">
        <v>429</v>
      </c>
      <c r="D462" s="22">
        <v>0</v>
      </c>
      <c r="E462" s="22">
        <v>0</v>
      </c>
      <c r="F462" s="22"/>
      <c r="G462" s="22">
        <v>0</v>
      </c>
      <c r="H462" s="22">
        <v>0</v>
      </c>
      <c r="I462" s="22">
        <v>0</v>
      </c>
    </row>
    <row r="463" spans="1:9" ht="26.45" hidden="1" x14ac:dyDescent="0.3">
      <c r="A463" s="11" t="s">
        <v>430</v>
      </c>
      <c r="B463" s="26"/>
      <c r="C463" s="3" t="s">
        <v>431</v>
      </c>
      <c r="D463" s="22">
        <v>0</v>
      </c>
      <c r="E463" s="22">
        <v>0</v>
      </c>
      <c r="F463" s="22"/>
      <c r="G463" s="22">
        <v>0</v>
      </c>
      <c r="H463" s="22">
        <v>0</v>
      </c>
      <c r="I463" s="22">
        <v>0</v>
      </c>
    </row>
    <row r="464" spans="1:9" ht="26.25" x14ac:dyDescent="0.25">
      <c r="A464" s="11"/>
      <c r="B464" s="1" t="s">
        <v>344</v>
      </c>
      <c r="C464" s="2" t="s">
        <v>345</v>
      </c>
      <c r="D464" s="22"/>
      <c r="E464" s="22">
        <v>490.8</v>
      </c>
      <c r="F464" s="22"/>
      <c r="G464" s="22">
        <v>490.8</v>
      </c>
      <c r="H464" s="22">
        <v>510.4</v>
      </c>
      <c r="I464" s="22">
        <v>530.79999999999995</v>
      </c>
    </row>
    <row r="465" spans="1:9" x14ac:dyDescent="0.25">
      <c r="A465" s="11" t="s">
        <v>640</v>
      </c>
      <c r="B465" s="8"/>
      <c r="C465" s="31" t="s">
        <v>432</v>
      </c>
      <c r="D465" s="22"/>
      <c r="E465" s="22">
        <v>0</v>
      </c>
      <c r="F465" s="22"/>
      <c r="G465" s="22">
        <v>0</v>
      </c>
      <c r="H465" s="22">
        <f>H466</f>
        <v>4478.3999999999996</v>
      </c>
      <c r="I465" s="22">
        <v>0</v>
      </c>
    </row>
    <row r="466" spans="1:9" ht="26.25" x14ac:dyDescent="0.25">
      <c r="A466" s="11"/>
      <c r="B466" s="1" t="s">
        <v>344</v>
      </c>
      <c r="C466" s="2" t="s">
        <v>345</v>
      </c>
      <c r="D466" s="22"/>
      <c r="E466" s="22">
        <v>0</v>
      </c>
      <c r="F466" s="22"/>
      <c r="G466" s="22">
        <v>0</v>
      </c>
      <c r="H466" s="72">
        <f>5375.2-896.8</f>
        <v>4478.3999999999996</v>
      </c>
      <c r="I466" s="22">
        <v>0</v>
      </c>
    </row>
    <row r="467" spans="1:9" x14ac:dyDescent="0.25">
      <c r="A467" s="11" t="s">
        <v>641</v>
      </c>
      <c r="B467" s="8"/>
      <c r="C467" s="31" t="s">
        <v>433</v>
      </c>
      <c r="D467" s="22"/>
      <c r="E467" s="22">
        <v>0</v>
      </c>
      <c r="F467" s="22"/>
      <c r="G467" s="22">
        <v>0</v>
      </c>
      <c r="H467" s="22">
        <v>896.8</v>
      </c>
      <c r="I467" s="22">
        <v>0</v>
      </c>
    </row>
    <row r="468" spans="1:9" ht="26.25" x14ac:dyDescent="0.25">
      <c r="A468" s="11"/>
      <c r="B468" s="1" t="s">
        <v>344</v>
      </c>
      <c r="C468" s="2" t="s">
        <v>345</v>
      </c>
      <c r="D468" s="22"/>
      <c r="E468" s="22">
        <v>0</v>
      </c>
      <c r="F468" s="22"/>
      <c r="G468" s="22">
        <v>0</v>
      </c>
      <c r="H468" s="22">
        <v>896.8</v>
      </c>
      <c r="I468" s="22">
        <v>0</v>
      </c>
    </row>
    <row r="469" spans="1:9" ht="14.45" hidden="1" x14ac:dyDescent="0.3">
      <c r="A469" s="11" t="s">
        <v>642</v>
      </c>
      <c r="B469" s="8"/>
      <c r="C469" s="31" t="s">
        <v>434</v>
      </c>
      <c r="D469" s="22"/>
      <c r="E469" s="22">
        <v>0</v>
      </c>
      <c r="F469" s="22"/>
      <c r="G469" s="22">
        <v>0</v>
      </c>
      <c r="H469" s="22">
        <v>0</v>
      </c>
      <c r="I469" s="22">
        <v>0</v>
      </c>
    </row>
    <row r="470" spans="1:9" ht="27" hidden="1" x14ac:dyDescent="0.3">
      <c r="A470" s="11"/>
      <c r="B470" s="1" t="s">
        <v>344</v>
      </c>
      <c r="C470" s="2" t="s">
        <v>345</v>
      </c>
      <c r="D470" s="22"/>
      <c r="E470" s="22">
        <v>0</v>
      </c>
      <c r="F470" s="22"/>
      <c r="G470" s="22">
        <v>0</v>
      </c>
      <c r="H470" s="22">
        <v>0</v>
      </c>
      <c r="I470" s="22">
        <v>0</v>
      </c>
    </row>
    <row r="471" spans="1:9" ht="25.5" x14ac:dyDescent="0.25">
      <c r="A471" s="23" t="s">
        <v>435</v>
      </c>
      <c r="B471" s="23"/>
      <c r="C471" s="32" t="s">
        <v>436</v>
      </c>
      <c r="D471" s="25" t="e">
        <f>#REF!+#REF!+#REF!+D472</f>
        <v>#REF!</v>
      </c>
      <c r="E471" s="25">
        <f>E472</f>
        <v>2265.8000000000002</v>
      </c>
      <c r="F471" s="25"/>
      <c r="G471" s="25">
        <f>G472</f>
        <v>2265.8000000000002</v>
      </c>
      <c r="H471" s="25">
        <f t="shared" ref="H471:I471" si="92">H472</f>
        <v>0</v>
      </c>
      <c r="I471" s="25">
        <f t="shared" si="92"/>
        <v>0</v>
      </c>
    </row>
    <row r="472" spans="1:9" ht="39" x14ac:dyDescent="0.25">
      <c r="A472" s="11" t="s">
        <v>643</v>
      </c>
      <c r="B472" s="8"/>
      <c r="C472" s="31" t="s">
        <v>185</v>
      </c>
      <c r="D472" s="22"/>
      <c r="E472" s="22">
        <v>2265.8000000000002</v>
      </c>
      <c r="F472" s="22"/>
      <c r="G472" s="22">
        <v>2265.8000000000002</v>
      </c>
      <c r="H472" s="22">
        <v>0</v>
      </c>
      <c r="I472" s="22">
        <v>0</v>
      </c>
    </row>
    <row r="473" spans="1:9" ht="26.25" x14ac:dyDescent="0.25">
      <c r="A473" s="11"/>
      <c r="B473" s="1" t="s">
        <v>344</v>
      </c>
      <c r="C473" s="2" t="s">
        <v>345</v>
      </c>
      <c r="D473" s="22"/>
      <c r="E473" s="22">
        <v>2265.8000000000002</v>
      </c>
      <c r="F473" s="22"/>
      <c r="G473" s="22">
        <v>2265.8000000000002</v>
      </c>
      <c r="H473" s="22">
        <v>0</v>
      </c>
      <c r="I473" s="22">
        <v>0</v>
      </c>
    </row>
    <row r="474" spans="1:9" ht="26.25" x14ac:dyDescent="0.25">
      <c r="A474" s="52" t="s">
        <v>437</v>
      </c>
      <c r="B474" s="52"/>
      <c r="C474" s="33" t="s">
        <v>438</v>
      </c>
      <c r="D474" s="25" t="e">
        <f>D475</f>
        <v>#REF!</v>
      </c>
      <c r="E474" s="25">
        <f>E475</f>
        <v>15746.8</v>
      </c>
      <c r="F474" s="25"/>
      <c r="G474" s="25">
        <f>G475</f>
        <v>15746.8</v>
      </c>
      <c r="H474" s="25">
        <f>H475</f>
        <v>15746.8</v>
      </c>
      <c r="I474" s="25">
        <f>I475</f>
        <v>15746.8</v>
      </c>
    </row>
    <row r="475" spans="1:9" ht="25.5" x14ac:dyDescent="0.25">
      <c r="A475" s="11" t="s">
        <v>439</v>
      </c>
      <c r="B475" s="11"/>
      <c r="C475" s="34" t="s">
        <v>440</v>
      </c>
      <c r="D475" s="22" t="e">
        <f>#REF!</f>
        <v>#REF!</v>
      </c>
      <c r="E475" s="22">
        <f>14309.4+1437.4</f>
        <v>15746.8</v>
      </c>
      <c r="F475" s="22"/>
      <c r="G475" s="22">
        <f>14309.4+1437.4</f>
        <v>15746.8</v>
      </c>
      <c r="H475" s="22">
        <f t="shared" ref="H475:I476" si="93">14309.4+1437.4</f>
        <v>15746.8</v>
      </c>
      <c r="I475" s="22">
        <f t="shared" si="93"/>
        <v>15746.8</v>
      </c>
    </row>
    <row r="476" spans="1:9" ht="25.5" x14ac:dyDescent="0.25">
      <c r="A476" s="11"/>
      <c r="B476" s="1" t="s">
        <v>658</v>
      </c>
      <c r="C476" s="3" t="s">
        <v>659</v>
      </c>
      <c r="D476" s="22"/>
      <c r="E476" s="22">
        <f>14309.4+1437.4</f>
        <v>15746.8</v>
      </c>
      <c r="F476" s="22"/>
      <c r="G476" s="22">
        <f>14309.4+1437.4</f>
        <v>15746.8</v>
      </c>
      <c r="H476" s="22">
        <f t="shared" si="93"/>
        <v>15746.8</v>
      </c>
      <c r="I476" s="22">
        <f t="shared" si="93"/>
        <v>15746.8</v>
      </c>
    </row>
    <row r="477" spans="1:9" ht="26.25" x14ac:dyDescent="0.25">
      <c r="A477" s="46" t="s">
        <v>441</v>
      </c>
      <c r="B477" s="46"/>
      <c r="C477" s="58" t="s">
        <v>442</v>
      </c>
      <c r="D477" s="48" t="e">
        <f>D478+D497+D501</f>
        <v>#REF!</v>
      </c>
      <c r="E477" s="48">
        <f>E478+E497+E501</f>
        <v>62664</v>
      </c>
      <c r="F477" s="48"/>
      <c r="G477" s="48">
        <f>G478+G497+G501</f>
        <v>62664</v>
      </c>
      <c r="H477" s="48">
        <f>H478+H497+H501</f>
        <v>65376.299999999996</v>
      </c>
      <c r="I477" s="48">
        <f>I478+I497+I501</f>
        <v>64052.1</v>
      </c>
    </row>
    <row r="478" spans="1:9" ht="26.25" x14ac:dyDescent="0.25">
      <c r="A478" s="49" t="s">
        <v>443</v>
      </c>
      <c r="B478" s="49"/>
      <c r="C478" s="50" t="s">
        <v>444</v>
      </c>
      <c r="D478" s="51" t="e">
        <f t="shared" ref="D478:I478" si="94">D479+D482+D485+D495</f>
        <v>#REF!</v>
      </c>
      <c r="E478" s="51">
        <f t="shared" si="94"/>
        <v>58746.2</v>
      </c>
      <c r="F478" s="51"/>
      <c r="G478" s="51">
        <f t="shared" ref="G478" si="95">G479+G482+G485+G495</f>
        <v>58746.2</v>
      </c>
      <c r="H478" s="51">
        <f t="shared" si="94"/>
        <v>61301.799999999996</v>
      </c>
      <c r="I478" s="51">
        <f t="shared" si="94"/>
        <v>59814.6</v>
      </c>
    </row>
    <row r="479" spans="1:9" x14ac:dyDescent="0.25">
      <c r="A479" s="52" t="s">
        <v>445</v>
      </c>
      <c r="B479" s="52"/>
      <c r="C479" s="53" t="s">
        <v>446</v>
      </c>
      <c r="D479" s="25" t="e">
        <f t="shared" ref="D479:I482" si="96">D480</f>
        <v>#REF!</v>
      </c>
      <c r="E479" s="25">
        <f t="shared" si="96"/>
        <v>500</v>
      </c>
      <c r="F479" s="25"/>
      <c r="G479" s="25">
        <f t="shared" si="96"/>
        <v>500</v>
      </c>
      <c r="H479" s="25">
        <f t="shared" si="96"/>
        <v>520</v>
      </c>
      <c r="I479" s="25">
        <f t="shared" si="96"/>
        <v>540.79999999999995</v>
      </c>
    </row>
    <row r="480" spans="1:9" x14ac:dyDescent="0.25">
      <c r="A480" s="11" t="s">
        <v>447</v>
      </c>
      <c r="B480" s="20"/>
      <c r="C480" s="5" t="s">
        <v>448</v>
      </c>
      <c r="D480" s="22" t="e">
        <f>#REF!</f>
        <v>#REF!</v>
      </c>
      <c r="E480" s="22">
        <v>500</v>
      </c>
      <c r="F480" s="22"/>
      <c r="G480" s="22">
        <v>500</v>
      </c>
      <c r="H480" s="22">
        <v>520</v>
      </c>
      <c r="I480" s="22">
        <v>540.79999999999995</v>
      </c>
    </row>
    <row r="481" spans="1:9" ht="26.25" x14ac:dyDescent="0.25">
      <c r="A481" s="11"/>
      <c r="B481" s="1" t="s">
        <v>344</v>
      </c>
      <c r="C481" s="2" t="s">
        <v>345</v>
      </c>
      <c r="D481" s="22"/>
      <c r="E481" s="22">
        <v>500</v>
      </c>
      <c r="F481" s="22"/>
      <c r="G481" s="22">
        <v>500</v>
      </c>
      <c r="H481" s="22">
        <v>520</v>
      </c>
      <c r="I481" s="22">
        <v>540.79999999999995</v>
      </c>
    </row>
    <row r="482" spans="1:9" x14ac:dyDescent="0.25">
      <c r="A482" s="52" t="s">
        <v>646</v>
      </c>
      <c r="B482" s="52"/>
      <c r="C482" s="53" t="s">
        <v>449</v>
      </c>
      <c r="D482" s="25" t="e">
        <f t="shared" si="96"/>
        <v>#REF!</v>
      </c>
      <c r="E482" s="25">
        <f t="shared" si="96"/>
        <v>3833.3</v>
      </c>
      <c r="F482" s="25"/>
      <c r="G482" s="25">
        <f t="shared" si="96"/>
        <v>3833.3</v>
      </c>
      <c r="H482" s="25">
        <f t="shared" si="96"/>
        <v>0</v>
      </c>
      <c r="I482" s="25">
        <f t="shared" si="96"/>
        <v>0</v>
      </c>
    </row>
    <row r="483" spans="1:9" ht="26.25" x14ac:dyDescent="0.25">
      <c r="A483" s="11" t="s">
        <v>647</v>
      </c>
      <c r="B483" s="20"/>
      <c r="C483" s="5" t="s">
        <v>450</v>
      </c>
      <c r="D483" s="22" t="e">
        <f>#REF!</f>
        <v>#REF!</v>
      </c>
      <c r="E483" s="22">
        <v>3833.3</v>
      </c>
      <c r="F483" s="22"/>
      <c r="G483" s="22">
        <v>3833.3</v>
      </c>
      <c r="H483" s="22">
        <v>0</v>
      </c>
      <c r="I483" s="22">
        <v>0</v>
      </c>
    </row>
    <row r="484" spans="1:9" ht="26.25" x14ac:dyDescent="0.25">
      <c r="A484" s="11"/>
      <c r="B484" s="1" t="s">
        <v>344</v>
      </c>
      <c r="C484" s="2" t="s">
        <v>345</v>
      </c>
      <c r="D484" s="22"/>
      <c r="E484" s="22">
        <v>3833.3</v>
      </c>
      <c r="F484" s="22"/>
      <c r="G484" s="22">
        <v>3833.3</v>
      </c>
      <c r="H484" s="22">
        <v>0</v>
      </c>
      <c r="I484" s="22">
        <v>0</v>
      </c>
    </row>
    <row r="485" spans="1:9" ht="26.25" x14ac:dyDescent="0.25">
      <c r="A485" s="52" t="s">
        <v>451</v>
      </c>
      <c r="B485" s="52"/>
      <c r="C485" s="53" t="s">
        <v>452</v>
      </c>
      <c r="D485" s="25" t="e">
        <f t="shared" ref="D485:I485" si="97">D486+D490+D492+D493</f>
        <v>#REF!</v>
      </c>
      <c r="E485" s="25">
        <f>E486+E490+E492+E493</f>
        <v>27098.6</v>
      </c>
      <c r="F485" s="25"/>
      <c r="G485" s="25">
        <f>G486+G490+G492+G493</f>
        <v>27098.6</v>
      </c>
      <c r="H485" s="25">
        <f t="shared" si="97"/>
        <v>32374.899999999998</v>
      </c>
      <c r="I485" s="25">
        <f t="shared" si="97"/>
        <v>29730.7</v>
      </c>
    </row>
    <row r="486" spans="1:9" x14ac:dyDescent="0.25">
      <c r="A486" s="11" t="s">
        <v>453</v>
      </c>
      <c r="B486" s="20"/>
      <c r="C486" s="5" t="s">
        <v>454</v>
      </c>
      <c r="D486" s="22" t="e">
        <f>#REF!</f>
        <v>#REF!</v>
      </c>
      <c r="E486" s="22">
        <f>E488+E489</f>
        <v>20083.900000000001</v>
      </c>
      <c r="F486" s="22"/>
      <c r="G486" s="22">
        <f>G488+G489</f>
        <v>20083.900000000001</v>
      </c>
      <c r="H486" s="22">
        <f t="shared" ref="H486:I486" si="98">H488+H489</f>
        <v>29008.6</v>
      </c>
      <c r="I486" s="22">
        <f t="shared" si="98"/>
        <v>28846.3</v>
      </c>
    </row>
    <row r="487" spans="1:9" ht="26.25" x14ac:dyDescent="0.25">
      <c r="A487" s="11"/>
      <c r="B487" s="1" t="s">
        <v>344</v>
      </c>
      <c r="C487" s="2" t="s">
        <v>345</v>
      </c>
      <c r="D487" s="22"/>
      <c r="E487" s="22">
        <f>SUM(E488+E489)</f>
        <v>20083.900000000001</v>
      </c>
      <c r="F487" s="22"/>
      <c r="G487" s="22">
        <f>SUM(G488+G489)</f>
        <v>20083.900000000001</v>
      </c>
      <c r="H487" s="22">
        <v>29008.6</v>
      </c>
      <c r="I487" s="22">
        <v>28846.3</v>
      </c>
    </row>
    <row r="488" spans="1:9" x14ac:dyDescent="0.25">
      <c r="A488" s="11"/>
      <c r="B488" s="11"/>
      <c r="C488" s="5" t="s">
        <v>95</v>
      </c>
      <c r="D488" s="22">
        <v>18075.5</v>
      </c>
      <c r="E488" s="22">
        <v>18075.5</v>
      </c>
      <c r="F488" s="22"/>
      <c r="G488" s="22">
        <v>18075.5</v>
      </c>
      <c r="H488" s="22">
        <v>26107.599999999999</v>
      </c>
      <c r="I488" s="22">
        <v>25961.7</v>
      </c>
    </row>
    <row r="489" spans="1:9" x14ac:dyDescent="0.25">
      <c r="A489" s="11"/>
      <c r="B489" s="11"/>
      <c r="C489" s="5" t="s">
        <v>172</v>
      </c>
      <c r="D489" s="22">
        <v>2008.4</v>
      </c>
      <c r="E489" s="22">
        <v>2008.4</v>
      </c>
      <c r="F489" s="22"/>
      <c r="G489" s="22">
        <v>2008.4</v>
      </c>
      <c r="H489" s="22">
        <v>2901</v>
      </c>
      <c r="I489" s="22">
        <v>2884.6</v>
      </c>
    </row>
    <row r="490" spans="1:9" x14ac:dyDescent="0.25">
      <c r="A490" s="11" t="s">
        <v>644</v>
      </c>
      <c r="B490" s="20"/>
      <c r="C490" s="5" t="s">
        <v>662</v>
      </c>
      <c r="D490" s="22" t="e">
        <f>#REF!</f>
        <v>#REF!</v>
      </c>
      <c r="E490" s="22">
        <f>E491</f>
        <v>2913.3</v>
      </c>
      <c r="F490" s="22"/>
      <c r="G490" s="22">
        <f>G491</f>
        <v>2913.3</v>
      </c>
      <c r="H490" s="22">
        <f t="shared" ref="H490:I490" si="99">H491</f>
        <v>0</v>
      </c>
      <c r="I490" s="22">
        <f t="shared" si="99"/>
        <v>0</v>
      </c>
    </row>
    <row r="491" spans="1:9" ht="26.25" x14ac:dyDescent="0.25">
      <c r="A491" s="11"/>
      <c r="B491" s="1" t="s">
        <v>344</v>
      </c>
      <c r="C491" s="2" t="s">
        <v>345</v>
      </c>
      <c r="D491" s="22"/>
      <c r="E491" s="22">
        <v>2913.3</v>
      </c>
      <c r="F491" s="22"/>
      <c r="G491" s="22">
        <v>2913.3</v>
      </c>
      <c r="H491" s="22">
        <v>0</v>
      </c>
      <c r="I491" s="22">
        <v>0</v>
      </c>
    </row>
    <row r="492" spans="1:9" x14ac:dyDescent="0.25">
      <c r="A492" s="11" t="s">
        <v>455</v>
      </c>
      <c r="B492" s="20"/>
      <c r="C492" s="5" t="s">
        <v>645</v>
      </c>
      <c r="D492" s="22" t="e">
        <f>#REF!</f>
        <v>#REF!</v>
      </c>
      <c r="E492" s="22">
        <v>4101.3999999999996</v>
      </c>
      <c r="F492" s="22"/>
      <c r="G492" s="22">
        <v>4101.3999999999996</v>
      </c>
      <c r="H492" s="22">
        <v>3366.3</v>
      </c>
      <c r="I492" s="22">
        <v>884.4</v>
      </c>
    </row>
    <row r="493" spans="1:9" ht="26.45" hidden="1" x14ac:dyDescent="0.3">
      <c r="A493" s="8" t="s">
        <v>456</v>
      </c>
      <c r="B493" s="8"/>
      <c r="C493" s="10" t="s">
        <v>457</v>
      </c>
      <c r="D493" s="22"/>
      <c r="E493" s="22">
        <v>0</v>
      </c>
      <c r="F493" s="22"/>
      <c r="G493" s="22">
        <v>0</v>
      </c>
      <c r="H493" s="22">
        <v>0</v>
      </c>
      <c r="I493" s="22">
        <v>0</v>
      </c>
    </row>
    <row r="494" spans="1:9" ht="26.25" x14ac:dyDescent="0.25">
      <c r="A494" s="8"/>
      <c r="B494" s="1" t="s">
        <v>344</v>
      </c>
      <c r="C494" s="2" t="s">
        <v>345</v>
      </c>
      <c r="D494" s="22"/>
      <c r="E494" s="22">
        <v>4101.3999999999996</v>
      </c>
      <c r="F494" s="22"/>
      <c r="G494" s="22">
        <v>4101.3999999999996</v>
      </c>
      <c r="H494" s="22">
        <v>3366.3</v>
      </c>
      <c r="I494" s="22">
        <v>884.4</v>
      </c>
    </row>
    <row r="495" spans="1:9" x14ac:dyDescent="0.25">
      <c r="A495" s="52" t="s">
        <v>458</v>
      </c>
      <c r="B495" s="52"/>
      <c r="C495" s="53" t="s">
        <v>459</v>
      </c>
      <c r="D495" s="25" t="e">
        <f t="shared" ref="D495:I495" si="100">D496</f>
        <v>#REF!</v>
      </c>
      <c r="E495" s="25">
        <f t="shared" si="100"/>
        <v>27314.3</v>
      </c>
      <c r="F495" s="25"/>
      <c r="G495" s="25">
        <f t="shared" si="100"/>
        <v>27314.3</v>
      </c>
      <c r="H495" s="25">
        <f t="shared" si="100"/>
        <v>28406.9</v>
      </c>
      <c r="I495" s="25">
        <f t="shared" si="100"/>
        <v>29543.1</v>
      </c>
    </row>
    <row r="496" spans="1:9" x14ac:dyDescent="0.25">
      <c r="A496" s="11" t="s">
        <v>460</v>
      </c>
      <c r="B496" s="20"/>
      <c r="C496" s="5" t="s">
        <v>461</v>
      </c>
      <c r="D496" s="22" t="e">
        <f>#REF!</f>
        <v>#REF!</v>
      </c>
      <c r="E496" s="22">
        <v>27314.3</v>
      </c>
      <c r="F496" s="22"/>
      <c r="G496" s="22">
        <v>27314.3</v>
      </c>
      <c r="H496" s="22">
        <v>28406.9</v>
      </c>
      <c r="I496" s="22">
        <v>29543.1</v>
      </c>
    </row>
    <row r="497" spans="1:9" ht="26.25" x14ac:dyDescent="0.25">
      <c r="A497" s="49" t="s">
        <v>462</v>
      </c>
      <c r="B497" s="49"/>
      <c r="C497" s="50" t="s">
        <v>463</v>
      </c>
      <c r="D497" s="51" t="e">
        <f t="shared" ref="D497:I498" si="101">D498</f>
        <v>#REF!</v>
      </c>
      <c r="E497" s="51">
        <f t="shared" si="101"/>
        <v>3367.5</v>
      </c>
      <c r="F497" s="51"/>
      <c r="G497" s="51">
        <f t="shared" si="101"/>
        <v>3367.5</v>
      </c>
      <c r="H497" s="51">
        <f t="shared" si="101"/>
        <v>3502.2</v>
      </c>
      <c r="I497" s="51">
        <f t="shared" si="101"/>
        <v>3642.3</v>
      </c>
    </row>
    <row r="498" spans="1:9" ht="26.25" x14ac:dyDescent="0.25">
      <c r="A498" s="52" t="s">
        <v>464</v>
      </c>
      <c r="B498" s="52"/>
      <c r="C498" s="53" t="s">
        <v>465</v>
      </c>
      <c r="D498" s="25" t="e">
        <f t="shared" si="101"/>
        <v>#REF!</v>
      </c>
      <c r="E498" s="25">
        <f t="shared" si="101"/>
        <v>3367.5</v>
      </c>
      <c r="F498" s="25"/>
      <c r="G498" s="25">
        <f t="shared" si="101"/>
        <v>3367.5</v>
      </c>
      <c r="H498" s="25">
        <f t="shared" si="101"/>
        <v>3502.2</v>
      </c>
      <c r="I498" s="25">
        <f t="shared" si="101"/>
        <v>3642.3</v>
      </c>
    </row>
    <row r="499" spans="1:9" ht="26.25" x14ac:dyDescent="0.25">
      <c r="A499" s="11" t="s">
        <v>466</v>
      </c>
      <c r="B499" s="20"/>
      <c r="C499" s="5" t="s">
        <v>467</v>
      </c>
      <c r="D499" s="22" t="e">
        <f>#REF!</f>
        <v>#REF!</v>
      </c>
      <c r="E499" s="22">
        <v>3367.5</v>
      </c>
      <c r="F499" s="22"/>
      <c r="G499" s="22">
        <v>3367.5</v>
      </c>
      <c r="H499" s="22">
        <v>3502.2</v>
      </c>
      <c r="I499" s="22">
        <v>3642.3</v>
      </c>
    </row>
    <row r="500" spans="1:9" ht="26.25" x14ac:dyDescent="0.25">
      <c r="A500" s="11"/>
      <c r="B500" s="1" t="s">
        <v>344</v>
      </c>
      <c r="C500" s="2" t="s">
        <v>345</v>
      </c>
      <c r="D500" s="22"/>
      <c r="E500" s="22">
        <v>3367.5</v>
      </c>
      <c r="F500" s="22"/>
      <c r="G500" s="22">
        <v>3367.5</v>
      </c>
      <c r="H500" s="22">
        <v>3502.2</v>
      </c>
      <c r="I500" s="22">
        <v>3642.3</v>
      </c>
    </row>
    <row r="501" spans="1:9" ht="39" x14ac:dyDescent="0.25">
      <c r="A501" s="49" t="s">
        <v>468</v>
      </c>
      <c r="B501" s="49"/>
      <c r="C501" s="50" t="s">
        <v>469</v>
      </c>
      <c r="D501" s="51" t="e">
        <f t="shared" ref="D501:I503" si="102">D502</f>
        <v>#REF!</v>
      </c>
      <c r="E501" s="51">
        <f t="shared" si="102"/>
        <v>550.30000000000018</v>
      </c>
      <c r="F501" s="51"/>
      <c r="G501" s="51">
        <f t="shared" si="102"/>
        <v>550.30000000000018</v>
      </c>
      <c r="H501" s="51">
        <f t="shared" si="102"/>
        <v>572.29999999999995</v>
      </c>
      <c r="I501" s="51">
        <f t="shared" si="102"/>
        <v>595.20000000000005</v>
      </c>
    </row>
    <row r="502" spans="1:9" ht="39" x14ac:dyDescent="0.25">
      <c r="A502" s="52" t="s">
        <v>470</v>
      </c>
      <c r="B502" s="52"/>
      <c r="C502" s="90" t="s">
        <v>471</v>
      </c>
      <c r="D502" s="25" t="e">
        <f t="shared" si="102"/>
        <v>#REF!</v>
      </c>
      <c r="E502" s="25">
        <f t="shared" si="102"/>
        <v>550.30000000000018</v>
      </c>
      <c r="F502" s="25"/>
      <c r="G502" s="25">
        <f t="shared" si="102"/>
        <v>550.30000000000018</v>
      </c>
      <c r="H502" s="25">
        <f t="shared" si="102"/>
        <v>572.29999999999995</v>
      </c>
      <c r="I502" s="25">
        <f t="shared" si="102"/>
        <v>595.20000000000005</v>
      </c>
    </row>
    <row r="503" spans="1:9" ht="26.25" x14ac:dyDescent="0.25">
      <c r="A503" s="11" t="s">
        <v>472</v>
      </c>
      <c r="B503" s="11"/>
      <c r="C503" s="15" t="s">
        <v>648</v>
      </c>
      <c r="D503" s="22" t="e">
        <f>#REF!</f>
        <v>#REF!</v>
      </c>
      <c r="E503" s="22">
        <f>E504</f>
        <v>550.30000000000018</v>
      </c>
      <c r="F503" s="22"/>
      <c r="G503" s="22">
        <f>G504</f>
        <v>550.30000000000018</v>
      </c>
      <c r="H503" s="22">
        <f t="shared" si="102"/>
        <v>572.29999999999995</v>
      </c>
      <c r="I503" s="22">
        <f t="shared" si="102"/>
        <v>595.20000000000005</v>
      </c>
    </row>
    <row r="504" spans="1:9" ht="26.25" x14ac:dyDescent="0.25">
      <c r="A504" s="11"/>
      <c r="B504" s="1" t="s">
        <v>344</v>
      </c>
      <c r="C504" s="2" t="s">
        <v>345</v>
      </c>
      <c r="D504" s="22"/>
      <c r="E504" s="22">
        <f>1848.9-1298.6</f>
        <v>550.30000000000018</v>
      </c>
      <c r="F504" s="22"/>
      <c r="G504" s="22">
        <f>1848.9-1298.6</f>
        <v>550.30000000000018</v>
      </c>
      <c r="H504" s="22">
        <v>572.29999999999995</v>
      </c>
      <c r="I504" s="22">
        <v>595.20000000000005</v>
      </c>
    </row>
    <row r="505" spans="1:9" ht="39" x14ac:dyDescent="0.25">
      <c r="A505" s="46" t="s">
        <v>473</v>
      </c>
      <c r="B505" s="46"/>
      <c r="C505" s="58" t="s">
        <v>523</v>
      </c>
      <c r="D505" s="48" t="e">
        <f t="shared" ref="D505:I505" si="103">D506+D509+D515</f>
        <v>#REF!</v>
      </c>
      <c r="E505" s="48">
        <f t="shared" si="103"/>
        <v>9104.6</v>
      </c>
      <c r="F505" s="441">
        <f t="shared" si="103"/>
        <v>5.0000000000000044E-3</v>
      </c>
      <c r="G505" s="441">
        <f t="shared" si="103"/>
        <v>9104.6049999999996</v>
      </c>
      <c r="H505" s="48">
        <f t="shared" si="103"/>
        <v>10433.211000000001</v>
      </c>
      <c r="I505" s="48">
        <f t="shared" si="103"/>
        <v>10051.871999999999</v>
      </c>
    </row>
    <row r="506" spans="1:9" ht="26.25" x14ac:dyDescent="0.25">
      <c r="A506" s="52" t="s">
        <v>649</v>
      </c>
      <c r="B506" s="56"/>
      <c r="C506" s="53" t="s">
        <v>524</v>
      </c>
      <c r="D506" s="25" t="e">
        <f>#REF!+D507</f>
        <v>#REF!</v>
      </c>
      <c r="E506" s="25">
        <f>E507</f>
        <v>100</v>
      </c>
      <c r="F506" s="25">
        <f>F507</f>
        <v>0</v>
      </c>
      <c r="G506" s="25">
        <f>G507</f>
        <v>100</v>
      </c>
      <c r="H506" s="25">
        <f t="shared" ref="H506:I506" si="104">H507</f>
        <v>104</v>
      </c>
      <c r="I506" s="25">
        <f t="shared" si="104"/>
        <v>108.2</v>
      </c>
    </row>
    <row r="507" spans="1:9" x14ac:dyDescent="0.25">
      <c r="A507" s="8" t="s">
        <v>650</v>
      </c>
      <c r="B507" s="26"/>
      <c r="C507" s="3" t="s">
        <v>525</v>
      </c>
      <c r="D507" s="22" t="e">
        <f>#REF!</f>
        <v>#REF!</v>
      </c>
      <c r="E507" s="22">
        <v>100</v>
      </c>
      <c r="F507" s="22"/>
      <c r="G507" s="22">
        <v>100</v>
      </c>
      <c r="H507" s="22">
        <v>104</v>
      </c>
      <c r="I507" s="22">
        <v>108.2</v>
      </c>
    </row>
    <row r="508" spans="1:9" ht="26.25" x14ac:dyDescent="0.25">
      <c r="A508" s="8"/>
      <c r="B508" s="1" t="s">
        <v>344</v>
      </c>
      <c r="C508" s="2" t="s">
        <v>345</v>
      </c>
      <c r="D508" s="22"/>
      <c r="E508" s="22">
        <v>100</v>
      </c>
      <c r="F508" s="22"/>
      <c r="G508" s="22">
        <v>100</v>
      </c>
      <c r="H508" s="22">
        <v>104</v>
      </c>
      <c r="I508" s="22">
        <v>108.2</v>
      </c>
    </row>
    <row r="509" spans="1:9" ht="26.25" x14ac:dyDescent="0.25">
      <c r="A509" s="52" t="s">
        <v>651</v>
      </c>
      <c r="B509" s="56"/>
      <c r="C509" s="53" t="s">
        <v>526</v>
      </c>
      <c r="D509" s="25">
        <f t="shared" ref="D509:H509" si="105">D510</f>
        <v>754.4</v>
      </c>
      <c r="E509" s="25">
        <f>E510</f>
        <v>6605.9000000000005</v>
      </c>
      <c r="F509" s="452">
        <f>F510</f>
        <v>-2.3999999999999997E-2</v>
      </c>
      <c r="G509" s="442">
        <f>G510</f>
        <v>6605.8760000000002</v>
      </c>
      <c r="H509" s="442">
        <f t="shared" si="105"/>
        <v>7318.4800000000005</v>
      </c>
      <c r="I509" s="442">
        <f>I510</f>
        <v>7297.4939999999997</v>
      </c>
    </row>
    <row r="510" spans="1:9" ht="25.5" x14ac:dyDescent="0.25">
      <c r="A510" s="8" t="s">
        <v>652</v>
      </c>
      <c r="B510" s="26"/>
      <c r="C510" s="3" t="s">
        <v>527</v>
      </c>
      <c r="D510" s="22">
        <f t="shared" ref="D510:I510" si="106">D512+D513+D514</f>
        <v>754.4</v>
      </c>
      <c r="E510" s="22">
        <f t="shared" si="106"/>
        <v>6605.9000000000005</v>
      </c>
      <c r="F510" s="444">
        <f t="shared" ref="F510" si="107">F512+F513+F514</f>
        <v>-2.3999999999999997E-2</v>
      </c>
      <c r="G510" s="439">
        <f t="shared" ref="G510" si="108">G512+G513+G514</f>
        <v>6605.8760000000002</v>
      </c>
      <c r="H510" s="439">
        <f t="shared" si="106"/>
        <v>7318.4800000000005</v>
      </c>
      <c r="I510" s="439">
        <f t="shared" si="106"/>
        <v>7297.4939999999997</v>
      </c>
    </row>
    <row r="511" spans="1:9" ht="26.25" x14ac:dyDescent="0.25">
      <c r="A511" s="8"/>
      <c r="B511" s="1" t="s">
        <v>344</v>
      </c>
      <c r="C511" s="2" t="s">
        <v>345</v>
      </c>
      <c r="D511" s="22"/>
      <c r="E511" s="22">
        <v>6605.9000000000005</v>
      </c>
      <c r="F511" s="446">
        <f>F512+F513+F514</f>
        <v>-2.3999999999999997E-2</v>
      </c>
      <c r="G511" s="440">
        <v>6605.9000000000005</v>
      </c>
      <c r="H511" s="440">
        <v>7318.4000000000005</v>
      </c>
      <c r="I511" s="440">
        <f>I512+I513+I514</f>
        <v>7297.4939999999997</v>
      </c>
    </row>
    <row r="512" spans="1:9" x14ac:dyDescent="0.25">
      <c r="A512" s="8"/>
      <c r="B512" s="11"/>
      <c r="C512" s="5" t="s">
        <v>227</v>
      </c>
      <c r="D512" s="22">
        <v>323.3</v>
      </c>
      <c r="E512" s="22">
        <v>5648</v>
      </c>
      <c r="F512" s="446">
        <v>2.4E-2</v>
      </c>
      <c r="G512" s="440">
        <f>5648+0.024</f>
        <v>5648.0240000000003</v>
      </c>
      <c r="H512" s="440">
        <v>6257.3</v>
      </c>
      <c r="I512" s="440">
        <f>6239.3+0.058</f>
        <v>6239.3580000000002</v>
      </c>
    </row>
    <row r="513" spans="1:9" x14ac:dyDescent="0.25">
      <c r="A513" s="8"/>
      <c r="B513" s="11"/>
      <c r="C513" s="5" t="s">
        <v>224</v>
      </c>
      <c r="D513" s="22">
        <v>323.3</v>
      </c>
      <c r="E513" s="22">
        <v>297.3</v>
      </c>
      <c r="F513" s="446">
        <f>-0.036</f>
        <v>-3.5999999999999997E-2</v>
      </c>
      <c r="G513" s="440">
        <f>297.3-0.036</f>
        <v>297.26400000000001</v>
      </c>
      <c r="H513" s="440">
        <f>329.3+0.032</f>
        <v>329.33199999999999</v>
      </c>
      <c r="I513" s="440">
        <f>328.4-0.013</f>
        <v>328.387</v>
      </c>
    </row>
    <row r="514" spans="1:9" x14ac:dyDescent="0.25">
      <c r="A514" s="8"/>
      <c r="B514" s="11"/>
      <c r="C514" s="5" t="s">
        <v>172</v>
      </c>
      <c r="D514" s="22">
        <v>107.8</v>
      </c>
      <c r="E514" s="22">
        <v>660.6</v>
      </c>
      <c r="F514" s="446">
        <f>-0.012</f>
        <v>-1.2E-2</v>
      </c>
      <c r="G514" s="440">
        <f>660.6-0.012</f>
        <v>660.58800000000008</v>
      </c>
      <c r="H514" s="440">
        <f>731.8+0.048</f>
        <v>731.84799999999996</v>
      </c>
      <c r="I514" s="440">
        <f>729.7+0.049</f>
        <v>729.74900000000002</v>
      </c>
    </row>
    <row r="515" spans="1:9" ht="26.25" x14ac:dyDescent="0.25">
      <c r="A515" s="52" t="s">
        <v>653</v>
      </c>
      <c r="B515" s="56"/>
      <c r="C515" s="53" t="s">
        <v>528</v>
      </c>
      <c r="D515" s="25">
        <f t="shared" ref="D515:I515" si="109">D516</f>
        <v>431.1</v>
      </c>
      <c r="E515" s="25">
        <f t="shared" si="109"/>
        <v>2398.6999999999998</v>
      </c>
      <c r="F515" s="442">
        <f t="shared" si="109"/>
        <v>2.9000000000000001E-2</v>
      </c>
      <c r="G515" s="442">
        <f t="shared" si="109"/>
        <v>2398.7289999999998</v>
      </c>
      <c r="H515" s="442">
        <f t="shared" si="109"/>
        <v>3010.7310000000002</v>
      </c>
      <c r="I515" s="442">
        <f t="shared" si="109"/>
        <v>2646.1779999999999</v>
      </c>
    </row>
    <row r="516" spans="1:9" ht="25.5" x14ac:dyDescent="0.25">
      <c r="A516" s="8" t="s">
        <v>654</v>
      </c>
      <c r="B516" s="26"/>
      <c r="C516" s="3" t="s">
        <v>529</v>
      </c>
      <c r="D516" s="22">
        <f t="shared" ref="D516:I516" si="110">D518+D519</f>
        <v>431.1</v>
      </c>
      <c r="E516" s="22">
        <f t="shared" si="110"/>
        <v>2398.6999999999998</v>
      </c>
      <c r="F516" s="444">
        <f t="shared" ref="F516" si="111">F518+F519</f>
        <v>2.9000000000000001E-2</v>
      </c>
      <c r="G516" s="439">
        <f t="shared" ref="G516" si="112">G518+G519</f>
        <v>2398.7289999999998</v>
      </c>
      <c r="H516" s="439">
        <f t="shared" si="110"/>
        <v>3010.7310000000002</v>
      </c>
      <c r="I516" s="439">
        <f t="shared" si="110"/>
        <v>2646.1779999999999</v>
      </c>
    </row>
    <row r="517" spans="1:9" ht="26.25" x14ac:dyDescent="0.25">
      <c r="A517" s="8"/>
      <c r="B517" s="1" t="s">
        <v>344</v>
      </c>
      <c r="C517" s="2" t="s">
        <v>345</v>
      </c>
      <c r="D517" s="22"/>
      <c r="E517" s="22">
        <v>2398.6999999999998</v>
      </c>
      <c r="F517" s="444">
        <f>F518</f>
        <v>2.9000000000000001E-2</v>
      </c>
      <c r="G517" s="439">
        <f>SUM(E517:F517)</f>
        <v>2398.7289999999998</v>
      </c>
      <c r="H517" s="439">
        <f>H518+H519</f>
        <v>3010.7310000000002</v>
      </c>
      <c r="I517" s="439">
        <f>I518+I519</f>
        <v>2646.1779999999999</v>
      </c>
    </row>
    <row r="518" spans="1:9" x14ac:dyDescent="0.25">
      <c r="A518" s="8"/>
      <c r="B518" s="11"/>
      <c r="C518" s="5" t="s">
        <v>224</v>
      </c>
      <c r="D518" s="22">
        <v>323.3</v>
      </c>
      <c r="E518" s="22">
        <v>2083.5</v>
      </c>
      <c r="F518" s="446">
        <v>2.9000000000000001E-2</v>
      </c>
      <c r="G518" s="440">
        <f>SUM(E518:F518)</f>
        <v>2083.529</v>
      </c>
      <c r="H518" s="440">
        <f>2709.8-0.029</f>
        <v>2709.7710000000002</v>
      </c>
      <c r="I518" s="440">
        <f>2381.6-0.04</f>
        <v>2381.56</v>
      </c>
    </row>
    <row r="519" spans="1:9" x14ac:dyDescent="0.25">
      <c r="A519" s="8"/>
      <c r="B519" s="11"/>
      <c r="C519" s="5" t="s">
        <v>172</v>
      </c>
      <c r="D519" s="22">
        <v>107.8</v>
      </c>
      <c r="E519" s="22">
        <v>315.2</v>
      </c>
      <c r="F519" s="72"/>
      <c r="G519" s="72">
        <v>315.2</v>
      </c>
      <c r="H519" s="440">
        <f>301.1-0.14</f>
        <v>300.96000000000004</v>
      </c>
      <c r="I519" s="440">
        <f>264.6+0.018</f>
        <v>264.61799999999999</v>
      </c>
    </row>
    <row r="520" spans="1:9" ht="39" x14ac:dyDescent="0.25">
      <c r="A520" s="46" t="s">
        <v>476</v>
      </c>
      <c r="B520" s="46"/>
      <c r="C520" s="58" t="s">
        <v>477</v>
      </c>
      <c r="D520" s="48" t="e">
        <f t="shared" ref="D520:I520" si="113">D521+D529+D541</f>
        <v>#REF!</v>
      </c>
      <c r="E520" s="48">
        <f t="shared" si="113"/>
        <v>20497.5</v>
      </c>
      <c r="F520" s="48">
        <f t="shared" si="113"/>
        <v>162.4</v>
      </c>
      <c r="G520" s="48">
        <f t="shared" si="113"/>
        <v>20659.899999999998</v>
      </c>
      <c r="H520" s="48">
        <f t="shared" si="113"/>
        <v>20110.5</v>
      </c>
      <c r="I520" s="48">
        <f t="shared" si="113"/>
        <v>20183.699999999997</v>
      </c>
    </row>
    <row r="521" spans="1:9" ht="39" x14ac:dyDescent="0.25">
      <c r="A521" s="52" t="s">
        <v>478</v>
      </c>
      <c r="B521" s="52"/>
      <c r="C521" s="33" t="s">
        <v>479</v>
      </c>
      <c r="D521" s="25" t="e">
        <f t="shared" ref="D521:I521" si="114">D522+D524+D526</f>
        <v>#REF!</v>
      </c>
      <c r="E521" s="25">
        <f t="shared" si="114"/>
        <v>15913.4</v>
      </c>
      <c r="F521" s="25">
        <f t="shared" si="114"/>
        <v>204.8</v>
      </c>
      <c r="G521" s="25">
        <f t="shared" si="114"/>
        <v>16118.199999999999</v>
      </c>
      <c r="H521" s="25">
        <f t="shared" si="114"/>
        <v>16129.699999999999</v>
      </c>
      <c r="I521" s="25">
        <f t="shared" si="114"/>
        <v>16141.8</v>
      </c>
    </row>
    <row r="522" spans="1:9" x14ac:dyDescent="0.25">
      <c r="A522" s="11" t="s">
        <v>480</v>
      </c>
      <c r="B522" s="11"/>
      <c r="C522" s="3" t="s">
        <v>481</v>
      </c>
      <c r="D522" s="22" t="e">
        <f>#REF!</f>
        <v>#REF!</v>
      </c>
      <c r="E522" s="22">
        <v>23.9</v>
      </c>
      <c r="F522" s="22"/>
      <c r="G522" s="22">
        <v>23.9</v>
      </c>
      <c r="H522" s="22">
        <v>24.8</v>
      </c>
      <c r="I522" s="22">
        <v>25.8</v>
      </c>
    </row>
    <row r="523" spans="1:9" ht="26.25" x14ac:dyDescent="0.25">
      <c r="A523" s="11"/>
      <c r="B523" s="1" t="s">
        <v>344</v>
      </c>
      <c r="C523" s="2" t="s">
        <v>345</v>
      </c>
      <c r="D523" s="22"/>
      <c r="E523" s="22">
        <v>23.9</v>
      </c>
      <c r="F523" s="22"/>
      <c r="G523" s="22">
        <v>23.9</v>
      </c>
      <c r="H523" s="22">
        <v>24.8</v>
      </c>
      <c r="I523" s="22">
        <v>25.8</v>
      </c>
    </row>
    <row r="524" spans="1:9" ht="51.75" x14ac:dyDescent="0.25">
      <c r="A524" s="11" t="s">
        <v>482</v>
      </c>
      <c r="B524" s="11"/>
      <c r="C524" s="14" t="s">
        <v>483</v>
      </c>
      <c r="D524" s="22" t="e">
        <f>#REF!</f>
        <v>#REF!</v>
      </c>
      <c r="E524" s="22">
        <v>118.1</v>
      </c>
      <c r="F524" s="22"/>
      <c r="G524" s="22">
        <v>118.1</v>
      </c>
      <c r="H524" s="22">
        <v>122.8</v>
      </c>
      <c r="I524" s="22">
        <v>127.7</v>
      </c>
    </row>
    <row r="525" spans="1:9" ht="26.25" x14ac:dyDescent="0.25">
      <c r="A525" s="11"/>
      <c r="B525" s="1" t="s">
        <v>344</v>
      </c>
      <c r="C525" s="2" t="s">
        <v>345</v>
      </c>
      <c r="D525" s="22"/>
      <c r="E525" s="22">
        <v>118.1</v>
      </c>
      <c r="F525" s="22"/>
      <c r="G525" s="22">
        <v>118.1</v>
      </c>
      <c r="H525" s="22">
        <v>122.8</v>
      </c>
      <c r="I525" s="22">
        <v>127.7</v>
      </c>
    </row>
    <row r="526" spans="1:9" ht="26.25" x14ac:dyDescent="0.25">
      <c r="A526" s="11" t="s">
        <v>484</v>
      </c>
      <c r="B526" s="11"/>
      <c r="C526" s="91" t="s">
        <v>1393</v>
      </c>
      <c r="D526" s="22" t="e">
        <f>SUM(#REF!+#REF!)</f>
        <v>#REF!</v>
      </c>
      <c r="E526" s="22">
        <f>E527+E528</f>
        <v>15771.4</v>
      </c>
      <c r="F526" s="72">
        <f>F527</f>
        <v>204.8</v>
      </c>
      <c r="G526" s="22">
        <f>G527+G528</f>
        <v>15976.199999999999</v>
      </c>
      <c r="H526" s="22">
        <f>H527+H528</f>
        <v>15982.099999999999</v>
      </c>
      <c r="I526" s="22">
        <f>I527+I528</f>
        <v>15988.3</v>
      </c>
    </row>
    <row r="527" spans="1:9" ht="39" x14ac:dyDescent="0.25">
      <c r="A527" s="11"/>
      <c r="B527" s="11" t="s">
        <v>535</v>
      </c>
      <c r="C527" s="2" t="s">
        <v>536</v>
      </c>
      <c r="D527" s="57"/>
      <c r="E527" s="438">
        <v>14401.4</v>
      </c>
      <c r="F527" s="462">
        <v>204.8</v>
      </c>
      <c r="G527" s="57">
        <f>SUM(E527:F527)</f>
        <v>14606.199999999999</v>
      </c>
      <c r="H527" s="57">
        <f>14401.4+204.8</f>
        <v>14606.199999999999</v>
      </c>
      <c r="I527" s="57">
        <f>14401.4+204.8</f>
        <v>14606.199999999999</v>
      </c>
    </row>
    <row r="528" spans="1:9" ht="26.25" x14ac:dyDescent="0.25">
      <c r="A528" s="11"/>
      <c r="B528" s="1" t="s">
        <v>344</v>
      </c>
      <c r="C528" s="2" t="s">
        <v>345</v>
      </c>
      <c r="D528" s="22"/>
      <c r="E528" s="22">
        <v>1370</v>
      </c>
      <c r="F528" s="22"/>
      <c r="G528" s="22">
        <v>1370</v>
      </c>
      <c r="H528" s="22">
        <v>1375.9</v>
      </c>
      <c r="I528" s="22">
        <v>1382.1</v>
      </c>
    </row>
    <row r="529" spans="1:9" ht="26.25" x14ac:dyDescent="0.25">
      <c r="A529" s="52" t="s">
        <v>485</v>
      </c>
      <c r="B529" s="52"/>
      <c r="C529" s="33" t="s">
        <v>486</v>
      </c>
      <c r="D529" s="25" t="e">
        <f t="shared" ref="D529:I529" si="115">D530+D532+D533+D538+D536+D539</f>
        <v>#REF!</v>
      </c>
      <c r="E529" s="25">
        <f t="shared" si="115"/>
        <v>4456.8</v>
      </c>
      <c r="F529" s="25">
        <f t="shared" si="115"/>
        <v>-42.4</v>
      </c>
      <c r="G529" s="25">
        <f t="shared" ref="G529" si="116">G530+G532+G533+G538+G536+G539</f>
        <v>4414.3999999999996</v>
      </c>
      <c r="H529" s="25">
        <f t="shared" si="115"/>
        <v>3980.8</v>
      </c>
      <c r="I529" s="25">
        <f t="shared" si="115"/>
        <v>4041.8999999999996</v>
      </c>
    </row>
    <row r="530" spans="1:9" x14ac:dyDescent="0.25">
      <c r="A530" s="11" t="s">
        <v>487</v>
      </c>
      <c r="B530" s="11"/>
      <c r="C530" s="84" t="s">
        <v>488</v>
      </c>
      <c r="D530" s="22" t="e">
        <f>#REF!</f>
        <v>#REF!</v>
      </c>
      <c r="E530" s="22">
        <v>775</v>
      </c>
      <c r="F530" s="72">
        <f>F531</f>
        <v>-42.4</v>
      </c>
      <c r="G530" s="22">
        <f>G531</f>
        <v>732.6</v>
      </c>
      <c r="H530" s="22">
        <f>H531</f>
        <v>1410.6000000000001</v>
      </c>
      <c r="I530" s="22">
        <f>I531</f>
        <v>1419</v>
      </c>
    </row>
    <row r="531" spans="1:9" ht="26.25" x14ac:dyDescent="0.25">
      <c r="A531" s="11"/>
      <c r="B531" s="1" t="s">
        <v>344</v>
      </c>
      <c r="C531" s="2" t="s">
        <v>345</v>
      </c>
      <c r="D531" s="22"/>
      <c r="E531" s="443">
        <v>775</v>
      </c>
      <c r="F531" s="445">
        <f>-42.4</f>
        <v>-42.4</v>
      </c>
      <c r="G531" s="22">
        <f>SUM(E531:F531)</f>
        <v>732.6</v>
      </c>
      <c r="H531" s="22">
        <f>1454.7-44.1</f>
        <v>1410.6000000000001</v>
      </c>
      <c r="I531" s="22">
        <f>1464.9-45.9</f>
        <v>1419</v>
      </c>
    </row>
    <row r="532" spans="1:9" ht="26.25" x14ac:dyDescent="0.25">
      <c r="A532" s="11" t="s">
        <v>489</v>
      </c>
      <c r="B532" s="11"/>
      <c r="C532" s="14" t="s">
        <v>490</v>
      </c>
      <c r="D532" s="22" t="e">
        <f>#REF!</f>
        <v>#REF!</v>
      </c>
      <c r="E532" s="22">
        <v>1438.4</v>
      </c>
      <c r="F532" s="22"/>
      <c r="G532" s="22">
        <v>1438.4</v>
      </c>
      <c r="H532" s="22">
        <v>1355.9</v>
      </c>
      <c r="I532" s="22">
        <v>1360.1</v>
      </c>
    </row>
    <row r="533" spans="1:9" ht="27" hidden="1" x14ac:dyDescent="0.3">
      <c r="A533" s="11" t="s">
        <v>491</v>
      </c>
      <c r="B533" s="11"/>
      <c r="C533" s="91" t="s">
        <v>492</v>
      </c>
      <c r="D533" s="22">
        <f>D534</f>
        <v>0</v>
      </c>
      <c r="E533" s="22">
        <f>E534</f>
        <v>0</v>
      </c>
      <c r="F533" s="22"/>
      <c r="G533" s="22">
        <f>G534</f>
        <v>0</v>
      </c>
      <c r="H533" s="22">
        <f>H534</f>
        <v>0</v>
      </c>
      <c r="I533" s="22">
        <f>I534</f>
        <v>0</v>
      </c>
    </row>
    <row r="534" spans="1:9" ht="27" hidden="1" x14ac:dyDescent="0.3">
      <c r="A534" s="11"/>
      <c r="B534" s="11" t="s">
        <v>344</v>
      </c>
      <c r="C534" s="5" t="s">
        <v>345</v>
      </c>
      <c r="D534" s="72">
        <v>0</v>
      </c>
      <c r="E534" s="72">
        <v>0</v>
      </c>
      <c r="F534" s="72"/>
      <c r="G534" s="72">
        <v>0</v>
      </c>
      <c r="H534" s="72">
        <v>0</v>
      </c>
      <c r="I534" s="72">
        <v>0</v>
      </c>
    </row>
    <row r="535" spans="1:9" ht="26.25" x14ac:dyDescent="0.25">
      <c r="A535" s="11"/>
      <c r="B535" s="1" t="s">
        <v>344</v>
      </c>
      <c r="C535" s="2" t="s">
        <v>345</v>
      </c>
      <c r="D535" s="72"/>
      <c r="E535" s="22">
        <v>1438.4</v>
      </c>
      <c r="F535" s="22"/>
      <c r="G535" s="22">
        <v>1438.4</v>
      </c>
      <c r="H535" s="22">
        <v>1355.9</v>
      </c>
      <c r="I535" s="22">
        <v>1360.1</v>
      </c>
    </row>
    <row r="536" spans="1:9" ht="26.25" x14ac:dyDescent="0.25">
      <c r="A536" s="11" t="s">
        <v>493</v>
      </c>
      <c r="B536" s="11"/>
      <c r="C536" s="5" t="s">
        <v>494</v>
      </c>
      <c r="D536" s="22" t="e">
        <f>#REF!</f>
        <v>#REF!</v>
      </c>
      <c r="E536" s="22">
        <v>1613.7</v>
      </c>
      <c r="F536" s="22"/>
      <c r="G536" s="22">
        <v>1613.7</v>
      </c>
      <c r="H536" s="22">
        <v>559.4</v>
      </c>
      <c r="I536" s="22">
        <v>581.79999999999995</v>
      </c>
    </row>
    <row r="537" spans="1:9" ht="26.25" x14ac:dyDescent="0.25">
      <c r="A537" s="11"/>
      <c r="B537" s="1" t="s">
        <v>344</v>
      </c>
      <c r="C537" s="2" t="s">
        <v>345</v>
      </c>
      <c r="D537" s="22"/>
      <c r="E537" s="22">
        <v>1613.7</v>
      </c>
      <c r="F537" s="22"/>
      <c r="G537" s="22">
        <v>1613.7</v>
      </c>
      <c r="H537" s="22">
        <v>559.4</v>
      </c>
      <c r="I537" s="22">
        <v>581.79999999999995</v>
      </c>
    </row>
    <row r="538" spans="1:9" ht="26.25" x14ac:dyDescent="0.25">
      <c r="A538" s="11" t="s">
        <v>495</v>
      </c>
      <c r="B538" s="11"/>
      <c r="C538" s="108" t="s">
        <v>655</v>
      </c>
      <c r="D538" s="22" t="e">
        <f>#REF!+#REF!</f>
        <v>#REF!</v>
      </c>
      <c r="E538" s="22">
        <v>629.70000000000005</v>
      </c>
      <c r="F538" s="22"/>
      <c r="G538" s="22">
        <v>629.70000000000005</v>
      </c>
      <c r="H538" s="22">
        <v>654.9</v>
      </c>
      <c r="I538" s="22">
        <v>681</v>
      </c>
    </row>
    <row r="539" spans="1:9" ht="27" hidden="1" x14ac:dyDescent="0.3">
      <c r="A539" s="11" t="s">
        <v>113</v>
      </c>
      <c r="B539" s="11"/>
      <c r="C539" s="91" t="s">
        <v>496</v>
      </c>
      <c r="D539" s="22"/>
      <c r="E539" s="22">
        <f>6000-6000</f>
        <v>0</v>
      </c>
      <c r="F539" s="22"/>
      <c r="G539" s="22">
        <f>6000-6000</f>
        <v>0</v>
      </c>
      <c r="H539" s="22">
        <v>0</v>
      </c>
      <c r="I539" s="22">
        <v>0</v>
      </c>
    </row>
    <row r="540" spans="1:9" ht="26.25" x14ac:dyDescent="0.25">
      <c r="A540" s="11"/>
      <c r="B540" s="1" t="s">
        <v>344</v>
      </c>
      <c r="C540" s="2" t="s">
        <v>345</v>
      </c>
      <c r="D540" s="22"/>
      <c r="E540" s="22">
        <v>629.70000000000005</v>
      </c>
      <c r="F540" s="22"/>
      <c r="G540" s="22">
        <v>629.70000000000005</v>
      </c>
      <c r="H540" s="22">
        <v>654.9</v>
      </c>
      <c r="I540" s="22">
        <v>681</v>
      </c>
    </row>
    <row r="541" spans="1:9" ht="26.25" x14ac:dyDescent="0.25">
      <c r="A541" s="52" t="s">
        <v>497</v>
      </c>
      <c r="B541" s="52"/>
      <c r="C541" s="33" t="s">
        <v>498</v>
      </c>
      <c r="D541" s="25" t="e">
        <f t="shared" ref="D541:I541" si="117">D542</f>
        <v>#REF!</v>
      </c>
      <c r="E541" s="25">
        <f t="shared" si="117"/>
        <v>127.3</v>
      </c>
      <c r="F541" s="25"/>
      <c r="G541" s="25">
        <f t="shared" si="117"/>
        <v>127.3</v>
      </c>
      <c r="H541" s="25">
        <f t="shared" si="117"/>
        <v>0</v>
      </c>
      <c r="I541" s="25">
        <f t="shared" si="117"/>
        <v>0</v>
      </c>
    </row>
    <row r="542" spans="1:9" x14ac:dyDescent="0.25">
      <c r="A542" s="11" t="s">
        <v>499</v>
      </c>
      <c r="B542" s="11"/>
      <c r="C542" s="91" t="s">
        <v>1389</v>
      </c>
      <c r="D542" s="22" t="e">
        <f>#REF!</f>
        <v>#REF!</v>
      </c>
      <c r="E542" s="22">
        <v>127.3</v>
      </c>
      <c r="F542" s="22"/>
      <c r="G542" s="22">
        <v>127.3</v>
      </c>
      <c r="H542" s="22">
        <v>0</v>
      </c>
      <c r="I542" s="22">
        <v>0</v>
      </c>
    </row>
    <row r="543" spans="1:9" ht="26.25" x14ac:dyDescent="0.25">
      <c r="A543" s="11"/>
      <c r="B543" s="1" t="s">
        <v>344</v>
      </c>
      <c r="C543" s="2" t="s">
        <v>345</v>
      </c>
      <c r="D543" s="22"/>
      <c r="E543" s="22">
        <v>127.3</v>
      </c>
      <c r="F543" s="22"/>
      <c r="G543" s="22">
        <v>127.3</v>
      </c>
      <c r="H543" s="22">
        <v>0</v>
      </c>
      <c r="I543" s="22">
        <v>0</v>
      </c>
    </row>
    <row r="544" spans="1:9" ht="39" x14ac:dyDescent="0.25">
      <c r="A544" s="46" t="s">
        <v>500</v>
      </c>
      <c r="B544" s="46"/>
      <c r="C544" s="58" t="s">
        <v>501</v>
      </c>
      <c r="D544" s="48" t="e">
        <f t="shared" ref="D544:I544" si="118">D545</f>
        <v>#REF!</v>
      </c>
      <c r="E544" s="48">
        <f t="shared" si="118"/>
        <v>0</v>
      </c>
      <c r="F544" s="48"/>
      <c r="G544" s="48">
        <f t="shared" si="118"/>
        <v>0</v>
      </c>
      <c r="H544" s="48">
        <f t="shared" si="118"/>
        <v>0</v>
      </c>
      <c r="I544" s="48">
        <f t="shared" si="118"/>
        <v>11652.8</v>
      </c>
    </row>
    <row r="545" spans="1:9" ht="39" x14ac:dyDescent="0.25">
      <c r="A545" s="49" t="s">
        <v>502</v>
      </c>
      <c r="B545" s="69"/>
      <c r="C545" s="50" t="s">
        <v>503</v>
      </c>
      <c r="D545" s="51" t="e">
        <f t="shared" ref="D545:I546" si="119">D546</f>
        <v>#REF!</v>
      </c>
      <c r="E545" s="51">
        <f t="shared" si="119"/>
        <v>0</v>
      </c>
      <c r="F545" s="51"/>
      <c r="G545" s="51">
        <f t="shared" si="119"/>
        <v>0</v>
      </c>
      <c r="H545" s="51">
        <f t="shared" si="119"/>
        <v>0</v>
      </c>
      <c r="I545" s="51">
        <f t="shared" si="119"/>
        <v>11652.8</v>
      </c>
    </row>
    <row r="546" spans="1:9" ht="39" x14ac:dyDescent="0.25">
      <c r="A546" s="52" t="s">
        <v>657</v>
      </c>
      <c r="B546" s="56"/>
      <c r="C546" s="53" t="s">
        <v>504</v>
      </c>
      <c r="D546" s="92" t="e">
        <f t="shared" si="119"/>
        <v>#REF!</v>
      </c>
      <c r="E546" s="92">
        <f t="shared" si="119"/>
        <v>0</v>
      </c>
      <c r="F546" s="92"/>
      <c r="G546" s="92">
        <f t="shared" si="119"/>
        <v>0</v>
      </c>
      <c r="H546" s="92">
        <f t="shared" si="119"/>
        <v>0</v>
      </c>
      <c r="I546" s="92">
        <f>I547</f>
        <v>11652.8</v>
      </c>
    </row>
    <row r="547" spans="1:9" ht="39" x14ac:dyDescent="0.25">
      <c r="A547" s="11" t="s">
        <v>656</v>
      </c>
      <c r="B547" s="11"/>
      <c r="C547" s="5" t="s">
        <v>505</v>
      </c>
      <c r="D547" s="22" t="e">
        <f>#REF!</f>
        <v>#REF!</v>
      </c>
      <c r="E547" s="22">
        <v>0</v>
      </c>
      <c r="F547" s="22"/>
      <c r="G547" s="22">
        <v>0</v>
      </c>
      <c r="H547" s="22">
        <v>0</v>
      </c>
      <c r="I547" s="22">
        <v>11652.8</v>
      </c>
    </row>
    <row r="548" spans="1:9" x14ac:dyDescent="0.25">
      <c r="A548" s="11"/>
      <c r="B548" s="1" t="s">
        <v>564</v>
      </c>
      <c r="C548" s="2" t="s">
        <v>565</v>
      </c>
      <c r="D548" s="22"/>
      <c r="E548" s="22"/>
      <c r="F548" s="22"/>
      <c r="G548" s="22">
        <v>0</v>
      </c>
      <c r="H548" s="22">
        <v>0</v>
      </c>
      <c r="I548" s="22">
        <v>2693.1</v>
      </c>
    </row>
    <row r="549" spans="1:9" x14ac:dyDescent="0.25">
      <c r="A549" s="11"/>
      <c r="B549" s="11"/>
      <c r="C549" s="15" t="s">
        <v>121</v>
      </c>
      <c r="D549" s="22">
        <v>0</v>
      </c>
      <c r="E549" s="22"/>
      <c r="F549" s="22"/>
      <c r="G549" s="22">
        <v>0</v>
      </c>
      <c r="H549" s="22">
        <v>0</v>
      </c>
      <c r="I549" s="22">
        <v>2693.1</v>
      </c>
    </row>
    <row r="550" spans="1:9" ht="26.25" x14ac:dyDescent="0.25">
      <c r="A550" s="11"/>
      <c r="B550" s="1" t="s">
        <v>371</v>
      </c>
      <c r="C550" s="2" t="s">
        <v>372</v>
      </c>
      <c r="D550" s="22"/>
      <c r="E550" s="22"/>
      <c r="F550" s="22"/>
      <c r="G550" s="22">
        <v>0</v>
      </c>
      <c r="H550" s="22">
        <v>0</v>
      </c>
      <c r="I550" s="22">
        <v>8959.7000000000007</v>
      </c>
    </row>
    <row r="551" spans="1:9" x14ac:dyDescent="0.25">
      <c r="A551" s="11"/>
      <c r="B551" s="11"/>
      <c r="C551" s="15" t="s">
        <v>121</v>
      </c>
      <c r="D551" s="22">
        <v>0</v>
      </c>
      <c r="E551" s="22">
        <v>0</v>
      </c>
      <c r="F551" s="22"/>
      <c r="G551" s="22">
        <v>0</v>
      </c>
      <c r="H551" s="22">
        <v>0</v>
      </c>
      <c r="I551" s="22">
        <v>8959.7000000000007</v>
      </c>
    </row>
    <row r="552" spans="1:9" ht="39" x14ac:dyDescent="0.25">
      <c r="A552" s="46" t="s">
        <v>506</v>
      </c>
      <c r="B552" s="93"/>
      <c r="C552" s="58" t="s">
        <v>507</v>
      </c>
      <c r="D552" s="48" t="e">
        <f t="shared" ref="D552:I552" si="120">D553+D566</f>
        <v>#REF!</v>
      </c>
      <c r="E552" s="441">
        <f t="shared" si="120"/>
        <v>4437.1000000000004</v>
      </c>
      <c r="F552" s="441">
        <f t="shared" si="120"/>
        <v>-3.7999999999999999E-2</v>
      </c>
      <c r="G552" s="441">
        <f t="shared" si="120"/>
        <v>4437.0620000000008</v>
      </c>
      <c r="H552" s="48">
        <f t="shared" si="120"/>
        <v>1375</v>
      </c>
      <c r="I552" s="48">
        <f t="shared" si="120"/>
        <v>1118</v>
      </c>
    </row>
    <row r="553" spans="1:9" x14ac:dyDescent="0.25">
      <c r="A553" s="52" t="s">
        <v>508</v>
      </c>
      <c r="B553" s="56"/>
      <c r="C553" s="53" t="s">
        <v>509</v>
      </c>
      <c r="D553" s="25" t="e">
        <f t="shared" ref="D553:I553" si="121">D554+D561+D556+D557+D565</f>
        <v>#REF!</v>
      </c>
      <c r="E553" s="25">
        <f>E554+E561+E556+E565</f>
        <v>4437.1000000000004</v>
      </c>
      <c r="F553" s="442">
        <f>F554+F561+F556+F565</f>
        <v>-3.7999999999999999E-2</v>
      </c>
      <c r="G553" s="25">
        <f>G554+G561+G556+G565</f>
        <v>4437.0620000000008</v>
      </c>
      <c r="H553" s="25">
        <f t="shared" si="121"/>
        <v>1075</v>
      </c>
      <c r="I553" s="25">
        <f t="shared" si="121"/>
        <v>1118</v>
      </c>
    </row>
    <row r="554" spans="1:9" x14ac:dyDescent="0.25">
      <c r="A554" s="11" t="s">
        <v>510</v>
      </c>
      <c r="B554" s="11"/>
      <c r="C554" s="5" t="s">
        <v>511</v>
      </c>
      <c r="D554" s="22" t="e">
        <f>#REF!</f>
        <v>#REF!</v>
      </c>
      <c r="E554" s="22">
        <v>537.20000000000005</v>
      </c>
      <c r="F554" s="22"/>
      <c r="G554" s="22">
        <v>537.20000000000005</v>
      </c>
      <c r="H554" s="22">
        <v>559</v>
      </c>
      <c r="I554" s="22">
        <v>581</v>
      </c>
    </row>
    <row r="555" spans="1:9" ht="26.25" x14ac:dyDescent="0.25">
      <c r="A555" s="11"/>
      <c r="B555" s="11" t="s">
        <v>344</v>
      </c>
      <c r="C555" s="5" t="s">
        <v>345</v>
      </c>
      <c r="D555" s="22"/>
      <c r="E555" s="22">
        <v>537.20000000000005</v>
      </c>
      <c r="F555" s="22"/>
      <c r="G555" s="22">
        <v>537.20000000000005</v>
      </c>
      <c r="H555" s="22">
        <v>559</v>
      </c>
      <c r="I555" s="22">
        <v>581</v>
      </c>
    </row>
    <row r="556" spans="1:9" x14ac:dyDescent="0.25">
      <c r="A556" s="11" t="s">
        <v>512</v>
      </c>
      <c r="B556" s="11"/>
      <c r="C556" s="5" t="s">
        <v>513</v>
      </c>
      <c r="D556" s="22">
        <f t="shared" ref="D556" si="122">D557</f>
        <v>0</v>
      </c>
      <c r="E556" s="22">
        <f>E557</f>
        <v>588.79999999999995</v>
      </c>
      <c r="F556" s="22"/>
      <c r="G556" s="22">
        <f>G557</f>
        <v>588.79999999999995</v>
      </c>
      <c r="H556" s="22">
        <v>0</v>
      </c>
      <c r="I556" s="22">
        <v>0</v>
      </c>
    </row>
    <row r="557" spans="1:9" ht="26.25" x14ac:dyDescent="0.25">
      <c r="A557" s="11"/>
      <c r="B557" s="11" t="s">
        <v>344</v>
      </c>
      <c r="C557" s="5" t="s">
        <v>345</v>
      </c>
      <c r="D557" s="22">
        <f t="shared" ref="D557:I557" si="123">D558+D559+D560</f>
        <v>0</v>
      </c>
      <c r="E557" s="22">
        <f t="shared" si="123"/>
        <v>588.79999999999995</v>
      </c>
      <c r="F557" s="22"/>
      <c r="G557" s="22">
        <f t="shared" ref="G557" si="124">G558+G559+G560</f>
        <v>588.79999999999995</v>
      </c>
      <c r="H557" s="22">
        <f t="shared" si="123"/>
        <v>0</v>
      </c>
      <c r="I557" s="22">
        <f t="shared" si="123"/>
        <v>0</v>
      </c>
    </row>
    <row r="558" spans="1:9" x14ac:dyDescent="0.25">
      <c r="A558" s="11"/>
      <c r="B558" s="11"/>
      <c r="C558" s="15" t="s">
        <v>514</v>
      </c>
      <c r="D558" s="22"/>
      <c r="E558" s="22"/>
      <c r="F558" s="22"/>
      <c r="G558" s="22">
        <v>0</v>
      </c>
      <c r="H558" s="22">
        <v>0</v>
      </c>
      <c r="I558" s="22">
        <v>0</v>
      </c>
    </row>
    <row r="559" spans="1:9" x14ac:dyDescent="0.25">
      <c r="A559" s="11"/>
      <c r="B559" s="11"/>
      <c r="C559" s="15" t="s">
        <v>255</v>
      </c>
      <c r="D559" s="22"/>
      <c r="E559" s="22"/>
      <c r="F559" s="22"/>
      <c r="G559" s="22">
        <v>0</v>
      </c>
      <c r="H559" s="22">
        <v>0</v>
      </c>
      <c r="I559" s="22">
        <v>0</v>
      </c>
    </row>
    <row r="560" spans="1:9" x14ac:dyDescent="0.25">
      <c r="A560" s="11"/>
      <c r="B560" s="11"/>
      <c r="C560" s="5" t="s">
        <v>515</v>
      </c>
      <c r="D560" s="22"/>
      <c r="E560" s="22">
        <v>588.79999999999995</v>
      </c>
      <c r="F560" s="22"/>
      <c r="G560" s="22">
        <v>588.79999999999995</v>
      </c>
      <c r="H560" s="22">
        <v>0</v>
      </c>
      <c r="I560" s="22">
        <v>0</v>
      </c>
    </row>
    <row r="561" spans="1:9" ht="25.5" x14ac:dyDescent="0.25">
      <c r="A561" s="11" t="s">
        <v>516</v>
      </c>
      <c r="B561" s="11"/>
      <c r="C561" s="3" t="s">
        <v>1390</v>
      </c>
      <c r="D561" s="22" t="e">
        <f>#REF!</f>
        <v>#REF!</v>
      </c>
      <c r="E561" s="443">
        <v>3311.1</v>
      </c>
      <c r="F561" s="444">
        <f>F562</f>
        <v>-3.7999999999999999E-2</v>
      </c>
      <c r="G561" s="439">
        <f>G562</f>
        <v>3311.0620000000004</v>
      </c>
      <c r="H561" s="22">
        <f>H563+H564</f>
        <v>516</v>
      </c>
      <c r="I561" s="22">
        <f>I563+I564</f>
        <v>537</v>
      </c>
    </row>
    <row r="562" spans="1:9" ht="26.25" x14ac:dyDescent="0.25">
      <c r="A562" s="11"/>
      <c r="B562" s="11" t="s">
        <v>344</v>
      </c>
      <c r="C562" s="5" t="s">
        <v>345</v>
      </c>
      <c r="D562" s="22"/>
      <c r="E562" s="443">
        <v>3311.1</v>
      </c>
      <c r="F562" s="444">
        <f>F563+F564</f>
        <v>-3.7999999999999999E-2</v>
      </c>
      <c r="G562" s="439">
        <f>G563+G564</f>
        <v>3311.0620000000004</v>
      </c>
      <c r="H562" s="22">
        <v>516</v>
      </c>
      <c r="I562" s="22">
        <v>537</v>
      </c>
    </row>
    <row r="563" spans="1:9" x14ac:dyDescent="0.25">
      <c r="A563" s="11"/>
      <c r="B563" s="11"/>
      <c r="C563" s="15" t="s">
        <v>255</v>
      </c>
      <c r="D563" s="22">
        <v>2814.4</v>
      </c>
      <c r="E563" s="443">
        <v>2814.4</v>
      </c>
      <c r="F563" s="446">
        <v>3.0000000000000001E-3</v>
      </c>
      <c r="G563" s="439">
        <f>SUM(E563:F563)</f>
        <v>2814.4030000000002</v>
      </c>
      <c r="H563" s="22"/>
      <c r="I563" s="22"/>
    </row>
    <row r="564" spans="1:9" x14ac:dyDescent="0.25">
      <c r="A564" s="11"/>
      <c r="B564" s="11"/>
      <c r="C564" s="5" t="s">
        <v>515</v>
      </c>
      <c r="D564" s="22">
        <v>496.7</v>
      </c>
      <c r="E564" s="443">
        <v>496.7</v>
      </c>
      <c r="F564" s="446">
        <v>-4.1000000000000002E-2</v>
      </c>
      <c r="G564" s="439">
        <f>SUM(E564:F564)</f>
        <v>496.65899999999999</v>
      </c>
      <c r="H564" s="22">
        <v>516</v>
      </c>
      <c r="I564" s="22">
        <v>537</v>
      </c>
    </row>
    <row r="565" spans="1:9" ht="53.45" hidden="1" x14ac:dyDescent="0.3">
      <c r="A565" s="11" t="s">
        <v>517</v>
      </c>
      <c r="B565" s="11"/>
      <c r="C565" s="5" t="s">
        <v>518</v>
      </c>
      <c r="D565" s="22"/>
      <c r="E565" s="22">
        <v>0</v>
      </c>
      <c r="F565" s="22"/>
      <c r="G565" s="22">
        <v>0</v>
      </c>
      <c r="H565" s="22">
        <v>0</v>
      </c>
      <c r="I565" s="22">
        <v>0</v>
      </c>
    </row>
    <row r="566" spans="1:9" ht="39" x14ac:dyDescent="0.25">
      <c r="A566" s="52" t="s">
        <v>519</v>
      </c>
      <c r="B566" s="56"/>
      <c r="C566" s="53" t="s">
        <v>520</v>
      </c>
      <c r="D566" s="25" t="e">
        <f t="shared" ref="D566:I566" si="125">D567</f>
        <v>#REF!</v>
      </c>
      <c r="E566" s="25">
        <f t="shared" si="125"/>
        <v>0</v>
      </c>
      <c r="F566" s="25"/>
      <c r="G566" s="25">
        <f t="shared" si="125"/>
        <v>0</v>
      </c>
      <c r="H566" s="25">
        <f t="shared" si="125"/>
        <v>300</v>
      </c>
      <c r="I566" s="25">
        <f t="shared" si="125"/>
        <v>0</v>
      </c>
    </row>
    <row r="567" spans="1:9" ht="39" x14ac:dyDescent="0.25">
      <c r="A567" s="11" t="s">
        <v>521</v>
      </c>
      <c r="B567" s="11"/>
      <c r="C567" s="5" t="s">
        <v>522</v>
      </c>
      <c r="D567" s="22" t="e">
        <f>#REF!</f>
        <v>#REF!</v>
      </c>
      <c r="E567" s="22">
        <f>1800-1800</f>
        <v>0</v>
      </c>
      <c r="F567" s="22"/>
      <c r="G567" s="22">
        <f>1800-1800</f>
        <v>0</v>
      </c>
      <c r="H567" s="22">
        <v>300</v>
      </c>
      <c r="I567" s="22">
        <v>0</v>
      </c>
    </row>
    <row r="568" spans="1:9" ht="26.25" x14ac:dyDescent="0.25">
      <c r="A568" s="11"/>
      <c r="B568" s="11" t="s">
        <v>344</v>
      </c>
      <c r="C568" s="5" t="s">
        <v>345</v>
      </c>
      <c r="D568" s="22"/>
      <c r="E568" s="22">
        <v>0</v>
      </c>
      <c r="F568" s="22"/>
      <c r="G568" s="22">
        <v>0</v>
      </c>
      <c r="H568" s="22">
        <v>300</v>
      </c>
      <c r="I568" s="22">
        <v>0</v>
      </c>
    </row>
    <row r="569" spans="1:9" x14ac:dyDescent="0.25">
      <c r="A569" s="94" t="s">
        <v>530</v>
      </c>
      <c r="B569" s="94"/>
      <c r="C569" s="95" t="s">
        <v>531</v>
      </c>
      <c r="D569" s="96" t="e">
        <f t="shared" ref="D569:I569" si="126">D570+D578</f>
        <v>#REF!</v>
      </c>
      <c r="E569" s="96">
        <f t="shared" si="126"/>
        <v>58100.7</v>
      </c>
      <c r="F569" s="96">
        <f t="shared" si="126"/>
        <v>3482.1</v>
      </c>
      <c r="G569" s="96">
        <f t="shared" si="126"/>
        <v>61582.799999999996</v>
      </c>
      <c r="H569" s="96">
        <f t="shared" si="126"/>
        <v>58127.8</v>
      </c>
      <c r="I569" s="96">
        <f t="shared" si="126"/>
        <v>58496.3</v>
      </c>
    </row>
    <row r="570" spans="1:9" ht="26.25" x14ac:dyDescent="0.25">
      <c r="A570" s="97" t="s">
        <v>532</v>
      </c>
      <c r="B570" s="98"/>
      <c r="C570" s="99" t="s">
        <v>533</v>
      </c>
      <c r="D570" s="100" t="e">
        <f>D571+D573+#REF!</f>
        <v>#REF!</v>
      </c>
      <c r="E570" s="100">
        <f>E571+E573</f>
        <v>2717.5</v>
      </c>
      <c r="F570" s="100">
        <f>F571+F573+F576</f>
        <v>1.3000000000000007</v>
      </c>
      <c r="G570" s="100">
        <f>G571+G573+G576</f>
        <v>2718.8</v>
      </c>
      <c r="H570" s="100">
        <f t="shared" ref="H570:I570" si="127">H571+H573</f>
        <v>2703.8</v>
      </c>
      <c r="I570" s="100">
        <f t="shared" si="127"/>
        <v>2703.8</v>
      </c>
    </row>
    <row r="571" spans="1:9" ht="26.25" x14ac:dyDescent="0.25">
      <c r="A571" s="11" t="s">
        <v>534</v>
      </c>
      <c r="B571" s="11"/>
      <c r="C571" s="5" t="s">
        <v>1403</v>
      </c>
      <c r="D571" s="22">
        <v>1164</v>
      </c>
      <c r="E571" s="22">
        <v>1164</v>
      </c>
      <c r="F571" s="22"/>
      <c r="G571" s="22">
        <v>1164</v>
      </c>
      <c r="H571" s="22">
        <v>1164</v>
      </c>
      <c r="I571" s="22">
        <v>1164</v>
      </c>
    </row>
    <row r="572" spans="1:9" ht="51.75" x14ac:dyDescent="0.25">
      <c r="A572" s="11"/>
      <c r="B572" s="11" t="s">
        <v>535</v>
      </c>
      <c r="C572" s="5" t="s">
        <v>536</v>
      </c>
      <c r="D572" s="22">
        <v>1164</v>
      </c>
      <c r="E572" s="22">
        <v>1164</v>
      </c>
      <c r="F572" s="22"/>
      <c r="G572" s="22">
        <v>1164</v>
      </c>
      <c r="H572" s="22">
        <v>1164</v>
      </c>
      <c r="I572" s="22">
        <v>1164</v>
      </c>
    </row>
    <row r="573" spans="1:9" ht="26.25" x14ac:dyDescent="0.25">
      <c r="A573" s="11" t="s">
        <v>537</v>
      </c>
      <c r="B573" s="11"/>
      <c r="C573" s="5" t="s">
        <v>538</v>
      </c>
      <c r="D573" s="22">
        <f t="shared" ref="D573:I573" si="128">D574+D575</f>
        <v>1446.7</v>
      </c>
      <c r="E573" s="22">
        <f t="shared" si="128"/>
        <v>1553.5</v>
      </c>
      <c r="F573" s="72">
        <f t="shared" si="128"/>
        <v>-13.7</v>
      </c>
      <c r="G573" s="22">
        <f t="shared" si="128"/>
        <v>1539.8</v>
      </c>
      <c r="H573" s="22">
        <f t="shared" si="128"/>
        <v>1539.8</v>
      </c>
      <c r="I573" s="22">
        <f t="shared" si="128"/>
        <v>1539.8</v>
      </c>
    </row>
    <row r="574" spans="1:9" ht="51.75" x14ac:dyDescent="0.25">
      <c r="A574" s="11"/>
      <c r="B574" s="11" t="s">
        <v>535</v>
      </c>
      <c r="C574" s="5" t="s">
        <v>536</v>
      </c>
      <c r="D574" s="22">
        <v>1406</v>
      </c>
      <c r="E574" s="22">
        <v>1490.5</v>
      </c>
      <c r="F574" s="72"/>
      <c r="G574" s="22">
        <v>1490.5</v>
      </c>
      <c r="H574" s="22">
        <v>1490.5</v>
      </c>
      <c r="I574" s="22">
        <v>1490.5</v>
      </c>
    </row>
    <row r="575" spans="1:9" ht="26.25" x14ac:dyDescent="0.25">
      <c r="A575" s="11"/>
      <c r="B575" s="11" t="s">
        <v>344</v>
      </c>
      <c r="C575" s="5" t="s">
        <v>345</v>
      </c>
      <c r="D575" s="22">
        <v>40.700000000000003</v>
      </c>
      <c r="E575" s="443">
        <f>66.9-3.9</f>
        <v>63.000000000000007</v>
      </c>
      <c r="F575" s="445">
        <v>-13.7</v>
      </c>
      <c r="G575" s="22">
        <f>SUM(E575:F575)</f>
        <v>49.300000000000011</v>
      </c>
      <c r="H575" s="22">
        <v>49.3</v>
      </c>
      <c r="I575" s="22">
        <v>49.3</v>
      </c>
    </row>
    <row r="576" spans="1:9" ht="39" x14ac:dyDescent="0.25">
      <c r="A576" s="11" t="s">
        <v>1400</v>
      </c>
      <c r="B576" s="11"/>
      <c r="C576" s="5" t="s">
        <v>1401</v>
      </c>
      <c r="D576" s="22"/>
      <c r="E576" s="443"/>
      <c r="F576" s="445">
        <f>F577</f>
        <v>15</v>
      </c>
      <c r="G576" s="22">
        <f>G577</f>
        <v>15</v>
      </c>
      <c r="H576" s="22">
        <v>0</v>
      </c>
      <c r="I576" s="22">
        <v>0</v>
      </c>
    </row>
    <row r="577" spans="1:9" ht="26.25" x14ac:dyDescent="0.25">
      <c r="A577" s="11"/>
      <c r="B577" s="11" t="s">
        <v>344</v>
      </c>
      <c r="C577" s="5" t="s">
        <v>345</v>
      </c>
      <c r="D577" s="22"/>
      <c r="E577" s="443"/>
      <c r="F577" s="445">
        <v>15</v>
      </c>
      <c r="G577" s="22">
        <v>15</v>
      </c>
      <c r="H577" s="22">
        <v>0</v>
      </c>
      <c r="I577" s="22">
        <v>0</v>
      </c>
    </row>
    <row r="578" spans="1:9" ht="39" x14ac:dyDescent="0.25">
      <c r="A578" s="97" t="s">
        <v>539</v>
      </c>
      <c r="B578" s="97"/>
      <c r="C578" s="99" t="s">
        <v>540</v>
      </c>
      <c r="D578" s="100">
        <f t="shared" ref="D578:I578" si="129">D579+D583+D590+D592+D598+D600+D602+D604+D608+D610+D618+D6330+D586+D612+D614</f>
        <v>49970.8</v>
      </c>
      <c r="E578" s="100">
        <f t="shared" si="129"/>
        <v>55383.199999999997</v>
      </c>
      <c r="F578" s="100">
        <f>F579+F583+F590+F592+F598+F600+F602+F604+F608+F610+F618+F6330+F586+F612+F614</f>
        <v>3480.7999999999997</v>
      </c>
      <c r="G578" s="100">
        <f>G579+G583+G590+G592+G598+G600+G602+G604+G608+G610+G618+G6330+G586+G612+G614</f>
        <v>58863.999999999993</v>
      </c>
      <c r="H578" s="100">
        <f>H579+H583+H590+H592+H598+H600+H602+H604+H608+H610+H618+H6330+H586+H612+H614</f>
        <v>55424</v>
      </c>
      <c r="I578" s="100">
        <f t="shared" si="129"/>
        <v>55792.5</v>
      </c>
    </row>
    <row r="579" spans="1:9" ht="26.25" x14ac:dyDescent="0.25">
      <c r="A579" s="11" t="s">
        <v>541</v>
      </c>
      <c r="B579" s="11"/>
      <c r="C579" s="5" t="s">
        <v>542</v>
      </c>
      <c r="D579" s="22">
        <f>D580+D581+D582</f>
        <v>2756.6000000000004</v>
      </c>
      <c r="E579" s="22">
        <f>E580+E581+E582</f>
        <v>2894.5</v>
      </c>
      <c r="F579" s="22"/>
      <c r="G579" s="22">
        <f>G580+G581+G582</f>
        <v>2894.5</v>
      </c>
      <c r="H579" s="22">
        <f>H580+H581+H582</f>
        <v>2894.5</v>
      </c>
      <c r="I579" s="22">
        <f>I580+I581+I582</f>
        <v>2894.5</v>
      </c>
    </row>
    <row r="580" spans="1:9" ht="51.75" x14ac:dyDescent="0.25">
      <c r="A580" s="20"/>
      <c r="B580" s="11" t="s">
        <v>535</v>
      </c>
      <c r="C580" s="5" t="s">
        <v>536</v>
      </c>
      <c r="D580" s="22">
        <v>2517.3000000000002</v>
      </c>
      <c r="E580" s="22">
        <v>2685.8</v>
      </c>
      <c r="F580" s="22"/>
      <c r="G580" s="22">
        <v>2685.8</v>
      </c>
      <c r="H580" s="22">
        <v>2685.8</v>
      </c>
      <c r="I580" s="22">
        <v>2685.8</v>
      </c>
    </row>
    <row r="581" spans="1:9" ht="26.25" x14ac:dyDescent="0.25">
      <c r="A581" s="20"/>
      <c r="B581" s="11" t="s">
        <v>344</v>
      </c>
      <c r="C581" s="5" t="s">
        <v>345</v>
      </c>
      <c r="D581" s="22">
        <v>159</v>
      </c>
      <c r="E581" s="22">
        <f>95.7-5.5</f>
        <v>90.2</v>
      </c>
      <c r="F581" s="22"/>
      <c r="G581" s="22">
        <f>95.7-5.5</f>
        <v>90.2</v>
      </c>
      <c r="H581" s="22">
        <f>99.4-9.2</f>
        <v>90.2</v>
      </c>
      <c r="I581" s="22">
        <f>103.4-13.2</f>
        <v>90.2</v>
      </c>
    </row>
    <row r="582" spans="1:9" x14ac:dyDescent="0.25">
      <c r="A582" s="20"/>
      <c r="B582" s="26" t="s">
        <v>543</v>
      </c>
      <c r="C582" s="12" t="s">
        <v>544</v>
      </c>
      <c r="D582" s="22">
        <v>80.3</v>
      </c>
      <c r="E582" s="22">
        <v>118.5</v>
      </c>
      <c r="F582" s="22"/>
      <c r="G582" s="22">
        <v>118.5</v>
      </c>
      <c r="H582" s="22">
        <v>118.5</v>
      </c>
      <c r="I582" s="22">
        <v>118.5</v>
      </c>
    </row>
    <row r="583" spans="1:9" ht="26.25" x14ac:dyDescent="0.25">
      <c r="A583" s="11" t="s">
        <v>545</v>
      </c>
      <c r="B583" s="11"/>
      <c r="C583" s="14" t="s">
        <v>546</v>
      </c>
      <c r="D583" s="22">
        <f t="shared" ref="D583:I583" si="130">D584+D585</f>
        <v>13159.9</v>
      </c>
      <c r="E583" s="443">
        <f t="shared" si="130"/>
        <v>14628.2</v>
      </c>
      <c r="F583" s="445">
        <f t="shared" si="130"/>
        <v>437.90000000000003</v>
      </c>
      <c r="G583" s="22">
        <f t="shared" si="130"/>
        <v>15066.1</v>
      </c>
      <c r="H583" s="22">
        <f t="shared" si="130"/>
        <v>14628</v>
      </c>
      <c r="I583" s="22">
        <f t="shared" si="130"/>
        <v>14628.2</v>
      </c>
    </row>
    <row r="584" spans="1:9" ht="39" x14ac:dyDescent="0.25">
      <c r="A584" s="11"/>
      <c r="B584" s="11" t="s">
        <v>535</v>
      </c>
      <c r="C584" s="5" t="s">
        <v>536</v>
      </c>
      <c r="D584" s="35">
        <v>12224.9</v>
      </c>
      <c r="E584" s="448">
        <v>13663.6</v>
      </c>
      <c r="F584" s="461">
        <v>417.1</v>
      </c>
      <c r="G584" s="35">
        <f>SUM(E584+F584)</f>
        <v>14080.7</v>
      </c>
      <c r="H584" s="35">
        <v>13663.6</v>
      </c>
      <c r="I584" s="35">
        <v>13663.6</v>
      </c>
    </row>
    <row r="585" spans="1:9" ht="26.25" x14ac:dyDescent="0.25">
      <c r="A585" s="11"/>
      <c r="B585" s="11" t="s">
        <v>344</v>
      </c>
      <c r="C585" s="5" t="s">
        <v>345</v>
      </c>
      <c r="D585" s="22">
        <v>935</v>
      </c>
      <c r="E585" s="443">
        <f>1023.5-58.9</f>
        <v>964.6</v>
      </c>
      <c r="F585" s="445">
        <v>20.8</v>
      </c>
      <c r="G585" s="22">
        <f>SUM(E585+F585)</f>
        <v>985.4</v>
      </c>
      <c r="H585" s="22">
        <f>1064.4-100</f>
        <v>964.40000000000009</v>
      </c>
      <c r="I585" s="22">
        <f>1107-142.4</f>
        <v>964.6</v>
      </c>
    </row>
    <row r="586" spans="1:9" ht="39" x14ac:dyDescent="0.25">
      <c r="A586" s="11" t="s">
        <v>547</v>
      </c>
      <c r="B586" s="11"/>
      <c r="C586" s="5" t="s">
        <v>76</v>
      </c>
      <c r="D586" s="22">
        <f t="shared" ref="D586:I586" si="131">D587</f>
        <v>115</v>
      </c>
      <c r="E586" s="22">
        <f t="shared" si="131"/>
        <v>153.6</v>
      </c>
      <c r="F586" s="22"/>
      <c r="G586" s="22">
        <f t="shared" si="131"/>
        <v>153.6</v>
      </c>
      <c r="H586" s="22">
        <f t="shared" si="131"/>
        <v>112</v>
      </c>
      <c r="I586" s="22">
        <f t="shared" si="131"/>
        <v>112</v>
      </c>
    </row>
    <row r="587" spans="1:9" ht="51.75" x14ac:dyDescent="0.25">
      <c r="A587" s="11"/>
      <c r="B587" s="11" t="s">
        <v>535</v>
      </c>
      <c r="C587" s="5" t="s">
        <v>536</v>
      </c>
      <c r="D587" s="22">
        <v>115</v>
      </c>
      <c r="E587" s="22">
        <v>153.6</v>
      </c>
      <c r="F587" s="22"/>
      <c r="G587" s="22">
        <v>153.6</v>
      </c>
      <c r="H587" s="22">
        <v>112</v>
      </c>
      <c r="I587" s="22">
        <v>112</v>
      </c>
    </row>
    <row r="588" spans="1:9" ht="26.45" hidden="1" x14ac:dyDescent="0.3">
      <c r="A588" s="11" t="s">
        <v>548</v>
      </c>
      <c r="B588" s="11"/>
      <c r="C588" s="3" t="s">
        <v>549</v>
      </c>
      <c r="D588" s="72">
        <f t="shared" ref="D588:I588" si="132">D589</f>
        <v>0</v>
      </c>
      <c r="E588" s="72">
        <f t="shared" si="132"/>
        <v>0</v>
      </c>
      <c r="F588" s="72"/>
      <c r="G588" s="72">
        <f t="shared" si="132"/>
        <v>0</v>
      </c>
      <c r="H588" s="72">
        <f t="shared" si="132"/>
        <v>0</v>
      </c>
      <c r="I588" s="72">
        <f t="shared" si="132"/>
        <v>0</v>
      </c>
    </row>
    <row r="589" spans="1:9" ht="40.15" hidden="1" x14ac:dyDescent="0.3">
      <c r="A589" s="11"/>
      <c r="B589" s="11" t="s">
        <v>535</v>
      </c>
      <c r="C589" s="5" t="s">
        <v>536</v>
      </c>
      <c r="D589" s="22"/>
      <c r="E589" s="22">
        <v>0</v>
      </c>
      <c r="F589" s="22"/>
      <c r="G589" s="22">
        <v>0</v>
      </c>
      <c r="H589" s="22">
        <v>0</v>
      </c>
      <c r="I589" s="22">
        <v>0</v>
      </c>
    </row>
    <row r="590" spans="1:9" ht="51.75" x14ac:dyDescent="0.25">
      <c r="A590" s="11" t="s">
        <v>550</v>
      </c>
      <c r="B590" s="11"/>
      <c r="C590" s="5" t="s">
        <v>551</v>
      </c>
      <c r="D590" s="22">
        <f t="shared" ref="D590:I590" si="133">D591</f>
        <v>7638.5</v>
      </c>
      <c r="E590" s="22">
        <f t="shared" si="133"/>
        <v>8339.2999999999993</v>
      </c>
      <c r="F590" s="22">
        <f t="shared" si="133"/>
        <v>51.2</v>
      </c>
      <c r="G590" s="22">
        <f t="shared" si="133"/>
        <v>8390.5</v>
      </c>
      <c r="H590" s="22">
        <f t="shared" si="133"/>
        <v>8390.5</v>
      </c>
      <c r="I590" s="22">
        <f t="shared" si="133"/>
        <v>8390.5</v>
      </c>
    </row>
    <row r="591" spans="1:9" ht="51.75" x14ac:dyDescent="0.25">
      <c r="A591" s="11"/>
      <c r="B591" s="11" t="s">
        <v>535</v>
      </c>
      <c r="C591" s="5" t="s">
        <v>536</v>
      </c>
      <c r="D591" s="22">
        <v>7638.5</v>
      </c>
      <c r="E591" s="22">
        <v>8339.2999999999993</v>
      </c>
      <c r="F591" s="72">
        <v>51.2</v>
      </c>
      <c r="G591" s="22">
        <f>8339.3+51.2</f>
        <v>8390.5</v>
      </c>
      <c r="H591" s="22">
        <f>8339.3+51.2</f>
        <v>8390.5</v>
      </c>
      <c r="I591" s="22">
        <f>8339.3+51.2</f>
        <v>8390.5</v>
      </c>
    </row>
    <row r="592" spans="1:9" ht="26.25" x14ac:dyDescent="0.25">
      <c r="A592" s="11" t="s">
        <v>552</v>
      </c>
      <c r="B592" s="11"/>
      <c r="C592" s="14" t="s">
        <v>553</v>
      </c>
      <c r="D592" s="22">
        <f>D593+D594+D595</f>
        <v>24392.9</v>
      </c>
      <c r="E592" s="22">
        <f>E593+E594+E595</f>
        <v>27272.799999999996</v>
      </c>
      <c r="F592" s="445">
        <f>F593+F595+F594</f>
        <v>2991.7</v>
      </c>
      <c r="G592" s="22">
        <f>G593+G594+G595</f>
        <v>30264.499999999996</v>
      </c>
      <c r="H592" s="22">
        <f>H593+H594+H595</f>
        <v>28523.5</v>
      </c>
      <c r="I592" s="22">
        <f>I593+I594+I595</f>
        <v>28891.8</v>
      </c>
    </row>
    <row r="593" spans="1:9" ht="39" x14ac:dyDescent="0.25">
      <c r="A593" s="11"/>
      <c r="B593" s="11" t="s">
        <v>535</v>
      </c>
      <c r="C593" s="5" t="s">
        <v>536</v>
      </c>
      <c r="D593" s="22">
        <v>12455.7</v>
      </c>
      <c r="E593" s="22">
        <v>13294.9</v>
      </c>
      <c r="F593" s="445">
        <f>895.1+2085.6</f>
        <v>2980.7</v>
      </c>
      <c r="G593" s="22">
        <f>SUM(E593:F593)</f>
        <v>16275.599999999999</v>
      </c>
      <c r="H593" s="22">
        <f>13294.9+895.1</f>
        <v>14190</v>
      </c>
      <c r="I593" s="22">
        <f>13294.9+895.1</f>
        <v>14190</v>
      </c>
    </row>
    <row r="594" spans="1:9" ht="26.25" x14ac:dyDescent="0.25">
      <c r="A594" s="11"/>
      <c r="B594" s="11" t="s">
        <v>344</v>
      </c>
      <c r="C594" s="5" t="s">
        <v>345</v>
      </c>
      <c r="D594" s="22">
        <f>13496.8-1313.9-258.8-497.7-4.3</f>
        <v>11422.1</v>
      </c>
      <c r="E594" s="22">
        <f>13864.3-337.5</f>
        <v>13526.8</v>
      </c>
      <c r="F594" s="445">
        <v>2.4</v>
      </c>
      <c r="G594" s="22">
        <f>SUM(E594:F594)</f>
        <v>13529.199999999999</v>
      </c>
      <c r="H594" s="22">
        <f>14419-572.2+35.6</f>
        <v>13882.4</v>
      </c>
      <c r="I594" s="22">
        <f>14995.6-816.6+71.7</f>
        <v>14250.7</v>
      </c>
    </row>
    <row r="595" spans="1:9" x14ac:dyDescent="0.25">
      <c r="A595" s="11"/>
      <c r="B595" s="11" t="s">
        <v>543</v>
      </c>
      <c r="C595" s="5" t="s">
        <v>544</v>
      </c>
      <c r="D595" s="22">
        <v>515.1</v>
      </c>
      <c r="E595" s="22">
        <v>451.1</v>
      </c>
      <c r="F595" s="445">
        <v>8.6</v>
      </c>
      <c r="G595" s="22">
        <f>SUM(E595:F595)</f>
        <v>459.70000000000005</v>
      </c>
      <c r="H595" s="22">
        <v>451.1</v>
      </c>
      <c r="I595" s="22">
        <v>451.1</v>
      </c>
    </row>
    <row r="596" spans="1:9" hidden="1" x14ac:dyDescent="0.25">
      <c r="A596" s="26" t="s">
        <v>554</v>
      </c>
      <c r="B596" s="26"/>
      <c r="C596" s="3" t="s">
        <v>555</v>
      </c>
      <c r="D596" s="22"/>
      <c r="E596" s="22">
        <v>0</v>
      </c>
      <c r="F596" s="22"/>
      <c r="G596" s="22">
        <v>0</v>
      </c>
      <c r="H596" s="22">
        <v>0</v>
      </c>
      <c r="I596" s="22">
        <v>0</v>
      </c>
    </row>
    <row r="597" spans="1:9" ht="25.5" hidden="1" x14ac:dyDescent="0.25">
      <c r="A597" s="26"/>
      <c r="B597" s="26" t="s">
        <v>344</v>
      </c>
      <c r="C597" s="3" t="s">
        <v>345</v>
      </c>
      <c r="D597" s="22"/>
      <c r="E597" s="22">
        <f>1141.9-1141.9</f>
        <v>0</v>
      </c>
      <c r="F597" s="22"/>
      <c r="G597" s="22">
        <f>1141.9-1141.9</f>
        <v>0</v>
      </c>
      <c r="H597" s="22">
        <f>1193.9-1193.9</f>
        <v>0</v>
      </c>
      <c r="I597" s="22">
        <f>1243.6-1243.6</f>
        <v>0</v>
      </c>
    </row>
    <row r="598" spans="1:9" ht="25.5" x14ac:dyDescent="0.25">
      <c r="A598" s="11" t="s">
        <v>556</v>
      </c>
      <c r="B598" s="26"/>
      <c r="C598" s="3" t="s">
        <v>557</v>
      </c>
      <c r="D598" s="22">
        <f>D599</f>
        <v>979.5</v>
      </c>
      <c r="E598" s="22">
        <f>E599</f>
        <v>979.5</v>
      </c>
      <c r="F598" s="22"/>
      <c r="G598" s="22">
        <f>G599</f>
        <v>979.5</v>
      </c>
      <c r="H598" s="22">
        <f>H599</f>
        <v>0</v>
      </c>
      <c r="I598" s="22">
        <f>I599</f>
        <v>0</v>
      </c>
    </row>
    <row r="599" spans="1:9" x14ac:dyDescent="0.25">
      <c r="A599" s="11"/>
      <c r="B599" s="26" t="s">
        <v>543</v>
      </c>
      <c r="C599" s="3" t="s">
        <v>544</v>
      </c>
      <c r="D599" s="22">
        <v>979.5</v>
      </c>
      <c r="E599" s="22">
        <v>979.5</v>
      </c>
      <c r="F599" s="22"/>
      <c r="G599" s="22">
        <v>979.5</v>
      </c>
      <c r="H599" s="22">
        <v>0</v>
      </c>
      <c r="I599" s="22">
        <v>0</v>
      </c>
    </row>
    <row r="600" spans="1:9" ht="26.25" x14ac:dyDescent="0.25">
      <c r="A600" s="11" t="s">
        <v>558</v>
      </c>
      <c r="B600" s="11"/>
      <c r="C600" s="14" t="s">
        <v>559</v>
      </c>
      <c r="D600" s="22">
        <f>D601</f>
        <v>130.80000000000001</v>
      </c>
      <c r="E600" s="22">
        <f>E601</f>
        <v>88</v>
      </c>
      <c r="F600" s="22"/>
      <c r="G600" s="22">
        <f>G601</f>
        <v>88</v>
      </c>
      <c r="H600" s="22">
        <f>H601</f>
        <v>88</v>
      </c>
      <c r="I600" s="22">
        <f>I601</f>
        <v>88</v>
      </c>
    </row>
    <row r="601" spans="1:9" ht="26.25" x14ac:dyDescent="0.25">
      <c r="A601" s="11"/>
      <c r="B601" s="11" t="s">
        <v>344</v>
      </c>
      <c r="C601" s="5" t="s">
        <v>345</v>
      </c>
      <c r="D601" s="22">
        <v>130.80000000000001</v>
      </c>
      <c r="E601" s="22">
        <v>88</v>
      </c>
      <c r="F601" s="22"/>
      <c r="G601" s="22">
        <v>88</v>
      </c>
      <c r="H601" s="22">
        <v>88</v>
      </c>
      <c r="I601" s="22">
        <v>88</v>
      </c>
    </row>
    <row r="602" spans="1:9" ht="26.25" x14ac:dyDescent="0.25">
      <c r="A602" s="11" t="s">
        <v>560</v>
      </c>
      <c r="B602" s="11"/>
      <c r="C602" s="14" t="s">
        <v>561</v>
      </c>
      <c r="D602" s="22">
        <f t="shared" ref="D602:I602" si="134">D603</f>
        <v>4.0999999999999996</v>
      </c>
      <c r="E602" s="22">
        <f t="shared" si="134"/>
        <v>3.3</v>
      </c>
      <c r="F602" s="22"/>
      <c r="G602" s="22">
        <f t="shared" si="134"/>
        <v>3.3</v>
      </c>
      <c r="H602" s="22">
        <f t="shared" si="134"/>
        <v>3.5</v>
      </c>
      <c r="I602" s="22">
        <f t="shared" si="134"/>
        <v>3.5</v>
      </c>
    </row>
    <row r="603" spans="1:9" ht="26.25" x14ac:dyDescent="0.25">
      <c r="A603" s="11"/>
      <c r="B603" s="11" t="s">
        <v>344</v>
      </c>
      <c r="C603" s="5" t="s">
        <v>345</v>
      </c>
      <c r="D603" s="22">
        <v>4.0999999999999996</v>
      </c>
      <c r="E603" s="22">
        <v>3.3</v>
      </c>
      <c r="F603" s="22"/>
      <c r="G603" s="22">
        <v>3.3</v>
      </c>
      <c r="H603" s="22">
        <v>3.5</v>
      </c>
      <c r="I603" s="22">
        <v>3.5</v>
      </c>
    </row>
    <row r="604" spans="1:9" ht="26.25" x14ac:dyDescent="0.25">
      <c r="A604" s="11" t="s">
        <v>562</v>
      </c>
      <c r="B604" s="11"/>
      <c r="C604" s="5" t="s">
        <v>563</v>
      </c>
      <c r="D604" s="22">
        <f>D607</f>
        <v>793.5</v>
      </c>
      <c r="E604" s="22">
        <f>E607</f>
        <v>484</v>
      </c>
      <c r="F604" s="22"/>
      <c r="G604" s="22">
        <f>G607</f>
        <v>484</v>
      </c>
      <c r="H604" s="22">
        <f>H607</f>
        <v>484</v>
      </c>
      <c r="I604" s="22">
        <f>I607</f>
        <v>484</v>
      </c>
    </row>
    <row r="605" spans="1:9" ht="25.5" hidden="1" x14ac:dyDescent="0.25">
      <c r="A605" s="11"/>
      <c r="B605" s="11" t="s">
        <v>344</v>
      </c>
      <c r="C605" s="12" t="s">
        <v>345</v>
      </c>
      <c r="D605" s="22"/>
      <c r="E605" s="22"/>
      <c r="F605" s="22"/>
      <c r="G605" s="22"/>
      <c r="H605" s="22"/>
      <c r="I605" s="22"/>
    </row>
    <row r="606" spans="1:9" hidden="1" x14ac:dyDescent="0.25">
      <c r="A606" s="11"/>
      <c r="B606" s="11" t="s">
        <v>564</v>
      </c>
      <c r="C606" s="3" t="s">
        <v>565</v>
      </c>
      <c r="D606" s="22"/>
      <c r="E606" s="22"/>
      <c r="F606" s="22"/>
      <c r="G606" s="22"/>
      <c r="H606" s="22"/>
      <c r="I606" s="22"/>
    </row>
    <row r="607" spans="1:9" x14ac:dyDescent="0.25">
      <c r="A607" s="11"/>
      <c r="B607" s="11" t="s">
        <v>543</v>
      </c>
      <c r="C607" s="5" t="s">
        <v>544</v>
      </c>
      <c r="D607" s="22">
        <v>793.5</v>
      </c>
      <c r="E607" s="22">
        <v>484</v>
      </c>
      <c r="F607" s="22"/>
      <c r="G607" s="22">
        <v>484</v>
      </c>
      <c r="H607" s="22">
        <v>484</v>
      </c>
      <c r="I607" s="22">
        <v>484</v>
      </c>
    </row>
    <row r="608" spans="1:9" ht="26.25" x14ac:dyDescent="0.25">
      <c r="A608" s="11" t="s">
        <v>566</v>
      </c>
      <c r="B608" s="11"/>
      <c r="C608" s="5" t="s">
        <v>567</v>
      </c>
      <c r="D608" s="22">
        <f>D609</f>
        <v>0</v>
      </c>
      <c r="E608" s="22">
        <f>E609</f>
        <v>300</v>
      </c>
      <c r="F608" s="22"/>
      <c r="G608" s="22">
        <f>G609</f>
        <v>300</v>
      </c>
      <c r="H608" s="22">
        <f>H609</f>
        <v>300</v>
      </c>
      <c r="I608" s="22">
        <f>I609</f>
        <v>300</v>
      </c>
    </row>
    <row r="609" spans="1:9" ht="26.25" x14ac:dyDescent="0.25">
      <c r="A609" s="11"/>
      <c r="B609" s="11" t="s">
        <v>344</v>
      </c>
      <c r="C609" s="5" t="s">
        <v>345</v>
      </c>
      <c r="D609" s="22">
        <v>0</v>
      </c>
      <c r="E609" s="22">
        <v>300</v>
      </c>
      <c r="F609" s="22"/>
      <c r="G609" s="22">
        <v>300</v>
      </c>
      <c r="H609" s="22">
        <v>300</v>
      </c>
      <c r="I609" s="22">
        <v>300</v>
      </c>
    </row>
    <row r="610" spans="1:9" x14ac:dyDescent="0.25">
      <c r="A610" s="11" t="s">
        <v>568</v>
      </c>
      <c r="B610" s="11"/>
      <c r="C610" s="5" t="s">
        <v>569</v>
      </c>
      <c r="D610" s="22">
        <f>D611</f>
        <v>0</v>
      </c>
      <c r="E610" s="22">
        <f>E611</f>
        <v>240</v>
      </c>
      <c r="F610" s="22"/>
      <c r="G610" s="22">
        <f>G611</f>
        <v>240</v>
      </c>
      <c r="H610" s="22">
        <f>H611</f>
        <v>0</v>
      </c>
      <c r="I610" s="22">
        <f>I611</f>
        <v>0</v>
      </c>
    </row>
    <row r="611" spans="1:9" x14ac:dyDescent="0.25">
      <c r="A611" s="11"/>
      <c r="B611" s="11" t="s">
        <v>543</v>
      </c>
      <c r="C611" s="5" t="s">
        <v>544</v>
      </c>
      <c r="D611" s="22">
        <v>0</v>
      </c>
      <c r="E611" s="22">
        <v>240</v>
      </c>
      <c r="F611" s="22"/>
      <c r="G611" s="22">
        <v>240</v>
      </c>
      <c r="H611" s="22">
        <v>0</v>
      </c>
      <c r="I611" s="22">
        <v>0</v>
      </c>
    </row>
    <row r="612" spans="1:9" s="62" customFormat="1" ht="52.9" hidden="1" x14ac:dyDescent="0.3">
      <c r="A612" s="36" t="s">
        <v>570</v>
      </c>
      <c r="B612" s="26"/>
      <c r="C612" s="3" t="s">
        <v>571</v>
      </c>
      <c r="D612" s="22"/>
      <c r="E612" s="22">
        <v>0</v>
      </c>
      <c r="F612" s="22"/>
      <c r="G612" s="22">
        <v>0</v>
      </c>
      <c r="H612" s="22">
        <v>0</v>
      </c>
      <c r="I612" s="22">
        <v>0</v>
      </c>
    </row>
    <row r="613" spans="1:9" s="62" customFormat="1" ht="26.45" hidden="1" x14ac:dyDescent="0.3">
      <c r="A613" s="27"/>
      <c r="B613" s="26" t="s">
        <v>344</v>
      </c>
      <c r="C613" s="3" t="s">
        <v>345</v>
      </c>
      <c r="D613" s="22"/>
      <c r="E613" s="22"/>
      <c r="F613" s="22"/>
      <c r="G613" s="22"/>
      <c r="H613" s="22"/>
      <c r="I613" s="22"/>
    </row>
    <row r="614" spans="1:9" s="62" customFormat="1" ht="52.9" hidden="1" x14ac:dyDescent="0.3">
      <c r="A614" s="36" t="s">
        <v>572</v>
      </c>
      <c r="B614" s="26"/>
      <c r="C614" s="3" t="s">
        <v>573</v>
      </c>
      <c r="D614" s="22"/>
      <c r="E614" s="22">
        <v>0</v>
      </c>
      <c r="F614" s="22"/>
      <c r="G614" s="22">
        <v>0</v>
      </c>
      <c r="H614" s="22">
        <v>0</v>
      </c>
      <c r="I614" s="22">
        <v>0</v>
      </c>
    </row>
    <row r="615" spans="1:9" s="62" customFormat="1" ht="26.45" hidden="1" x14ac:dyDescent="0.3">
      <c r="A615" s="27"/>
      <c r="B615" s="26" t="s">
        <v>344</v>
      </c>
      <c r="C615" s="3" t="s">
        <v>345</v>
      </c>
      <c r="D615" s="22"/>
      <c r="E615" s="22"/>
      <c r="F615" s="22"/>
      <c r="G615" s="22"/>
      <c r="H615" s="22"/>
      <c r="I615" s="22"/>
    </row>
    <row r="616" spans="1:9" s="62" customFormat="1" ht="40.15" hidden="1" x14ac:dyDescent="0.3">
      <c r="A616" s="36" t="s">
        <v>574</v>
      </c>
      <c r="B616" s="26"/>
      <c r="C616" s="5" t="s">
        <v>575</v>
      </c>
      <c r="D616" s="22"/>
      <c r="E616" s="22"/>
      <c r="F616" s="22"/>
      <c r="G616" s="22"/>
      <c r="H616" s="22"/>
      <c r="I616" s="22"/>
    </row>
    <row r="617" spans="1:9" s="62" customFormat="1" ht="26.45" hidden="1" x14ac:dyDescent="0.3">
      <c r="A617" s="27"/>
      <c r="B617" s="26" t="s">
        <v>344</v>
      </c>
      <c r="C617" s="3" t="s">
        <v>345</v>
      </c>
      <c r="D617" s="22"/>
      <c r="E617" s="22"/>
      <c r="F617" s="22"/>
      <c r="G617" s="22"/>
      <c r="H617" s="22"/>
      <c r="I617" s="22"/>
    </row>
    <row r="618" spans="1:9" ht="40.15" hidden="1" x14ac:dyDescent="0.3">
      <c r="A618" s="11" t="s">
        <v>576</v>
      </c>
      <c r="B618" s="11"/>
      <c r="C618" s="5" t="s">
        <v>577</v>
      </c>
      <c r="D618" s="22">
        <f>D619</f>
        <v>0</v>
      </c>
      <c r="E618" s="22">
        <f>E619</f>
        <v>0</v>
      </c>
      <c r="F618" s="22"/>
      <c r="G618" s="22">
        <f>G619</f>
        <v>0</v>
      </c>
      <c r="H618" s="22">
        <f>H619</f>
        <v>0</v>
      </c>
      <c r="I618" s="22">
        <f>I619</f>
        <v>0</v>
      </c>
    </row>
    <row r="619" spans="1:9" ht="14.45" hidden="1" x14ac:dyDescent="0.3">
      <c r="A619" s="11"/>
      <c r="B619" s="11" t="s">
        <v>543</v>
      </c>
      <c r="C619" s="5" t="s">
        <v>544</v>
      </c>
      <c r="D619" s="22">
        <f>SUM(D620:D620)</f>
        <v>0</v>
      </c>
      <c r="E619" s="22"/>
      <c r="F619" s="22"/>
      <c r="G619" s="22"/>
      <c r="H619" s="22"/>
      <c r="I619" s="22"/>
    </row>
    <row r="620" spans="1:9" ht="14.45" hidden="1" x14ac:dyDescent="0.3">
      <c r="A620" s="11"/>
      <c r="B620" s="11"/>
      <c r="C620" s="5" t="s">
        <v>255</v>
      </c>
      <c r="D620" s="22">
        <v>0</v>
      </c>
      <c r="E620" s="22"/>
      <c r="F620" s="22"/>
      <c r="G620" s="22"/>
      <c r="H620" s="22"/>
      <c r="I620" s="22"/>
    </row>
    <row r="621" spans="1:9" ht="26.45" hidden="1" x14ac:dyDescent="0.3">
      <c r="A621" s="8" t="s">
        <v>578</v>
      </c>
      <c r="B621" s="8"/>
      <c r="C621" s="10" t="s">
        <v>579</v>
      </c>
      <c r="D621" s="22"/>
      <c r="E621" s="22">
        <v>0</v>
      </c>
      <c r="F621" s="22"/>
      <c r="G621" s="22">
        <v>0</v>
      </c>
      <c r="H621" s="22">
        <v>0</v>
      </c>
      <c r="I621" s="22">
        <v>0</v>
      </c>
    </row>
    <row r="622" spans="1:9" ht="26.45" hidden="1" x14ac:dyDescent="0.3">
      <c r="A622" s="8"/>
      <c r="B622" s="8" t="s">
        <v>535</v>
      </c>
      <c r="C622" s="10" t="s">
        <v>580</v>
      </c>
      <c r="D622" s="22"/>
      <c r="E622" s="22"/>
      <c r="F622" s="22"/>
      <c r="G622" s="22"/>
      <c r="H622" s="22"/>
      <c r="I622" s="22"/>
    </row>
    <row r="623" spans="1:9" ht="26.45" hidden="1" x14ac:dyDescent="0.3">
      <c r="A623" s="8" t="s">
        <v>581</v>
      </c>
      <c r="B623" s="8"/>
      <c r="C623" s="3" t="s">
        <v>582</v>
      </c>
      <c r="D623" s="22"/>
      <c r="E623" s="22">
        <v>0</v>
      </c>
      <c r="F623" s="22"/>
      <c r="G623" s="22">
        <v>0</v>
      </c>
      <c r="H623" s="22">
        <v>0</v>
      </c>
      <c r="I623" s="22">
        <v>0</v>
      </c>
    </row>
    <row r="624" spans="1:9" ht="14.45" hidden="1" x14ac:dyDescent="0.3">
      <c r="A624" s="8"/>
      <c r="B624" s="30" t="s">
        <v>543</v>
      </c>
      <c r="C624" s="3" t="s">
        <v>544</v>
      </c>
      <c r="D624" s="22"/>
      <c r="E624" s="22"/>
      <c r="F624" s="22"/>
      <c r="G624" s="22"/>
      <c r="H624" s="22"/>
      <c r="I624" s="22"/>
    </row>
    <row r="625" spans="1:10" ht="14.45" hidden="1" x14ac:dyDescent="0.3">
      <c r="A625" s="8"/>
      <c r="B625" s="30"/>
      <c r="C625" s="5" t="s">
        <v>255</v>
      </c>
      <c r="D625" s="22"/>
      <c r="E625" s="22"/>
      <c r="F625" s="22"/>
      <c r="G625" s="22"/>
      <c r="H625" s="22"/>
      <c r="I625" s="22"/>
    </row>
    <row r="626" spans="1:10" ht="27" hidden="1" x14ac:dyDescent="0.3">
      <c r="A626" s="8" t="s">
        <v>583</v>
      </c>
      <c r="B626" s="30"/>
      <c r="C626" s="5" t="s">
        <v>584</v>
      </c>
      <c r="D626" s="22"/>
      <c r="E626" s="22"/>
      <c r="F626" s="22"/>
      <c r="G626" s="22"/>
      <c r="H626" s="22"/>
      <c r="I626" s="22"/>
    </row>
    <row r="627" spans="1:10" ht="26.45" hidden="1" x14ac:dyDescent="0.3">
      <c r="A627" s="8"/>
      <c r="B627" s="26" t="s">
        <v>344</v>
      </c>
      <c r="C627" s="3" t="s">
        <v>345</v>
      </c>
      <c r="D627" s="22"/>
      <c r="E627" s="22"/>
      <c r="F627" s="22"/>
      <c r="G627" s="22"/>
      <c r="H627" s="22"/>
      <c r="I627" s="22"/>
    </row>
    <row r="628" spans="1:10" ht="27" hidden="1" x14ac:dyDescent="0.3">
      <c r="A628" s="8" t="s">
        <v>585</v>
      </c>
      <c r="B628" s="26"/>
      <c r="C628" s="5" t="s">
        <v>586</v>
      </c>
      <c r="D628" s="22"/>
      <c r="E628" s="22"/>
      <c r="F628" s="22"/>
      <c r="G628" s="22"/>
      <c r="H628" s="22"/>
      <c r="I628" s="22"/>
    </row>
    <row r="629" spans="1:10" ht="26.45" hidden="1" x14ac:dyDescent="0.3">
      <c r="A629" s="8"/>
      <c r="B629" s="26" t="s">
        <v>344</v>
      </c>
      <c r="C629" s="3" t="s">
        <v>345</v>
      </c>
      <c r="D629" s="22"/>
      <c r="E629" s="22"/>
      <c r="F629" s="22"/>
      <c r="G629" s="22"/>
      <c r="H629" s="22"/>
      <c r="I629" s="22"/>
    </row>
    <row r="630" spans="1:10" x14ac:dyDescent="0.25">
      <c r="A630" s="101"/>
      <c r="B630" s="101"/>
      <c r="C630" s="95" t="s">
        <v>587</v>
      </c>
      <c r="D630" s="102" t="e">
        <f t="shared" ref="D630:H630" si="135">D9+D569</f>
        <v>#REF!</v>
      </c>
      <c r="E630" s="451">
        <f t="shared" si="135"/>
        <v>851526.2</v>
      </c>
      <c r="F630" s="451">
        <f t="shared" si="135"/>
        <v>23222.126500000002</v>
      </c>
      <c r="G630" s="451">
        <f t="shared" si="135"/>
        <v>874748.3265000002</v>
      </c>
      <c r="H630" s="451">
        <f t="shared" si="135"/>
        <v>802554.85300000024</v>
      </c>
      <c r="I630" s="451">
        <f>I9+I569+0.04</f>
        <v>853459.85600000026</v>
      </c>
      <c r="J630" s="103"/>
    </row>
  </sheetData>
  <mergeCells count="9">
    <mergeCell ref="G1:I1"/>
    <mergeCell ref="G2:I2"/>
    <mergeCell ref="G3:I3"/>
    <mergeCell ref="G4:I4"/>
    <mergeCell ref="G5:I5"/>
    <mergeCell ref="Q188:R188"/>
    <mergeCell ref="D5:E5"/>
    <mergeCell ref="O188:P188"/>
    <mergeCell ref="A7:I7"/>
  </mergeCells>
  <pageMargins left="1.1023622047244095" right="0.70866141732283472" top="0.74803149606299213" bottom="0.74803149606299213" header="0.31496062992125984" footer="0.31496062992125984"/>
  <pageSetup paperSize="9" scale="60" orientation="portrait" r:id="rId1"/>
  <rowBreaks count="1" manualBreakCount="1">
    <brk id="545" max="8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4"/>
  <sheetViews>
    <sheetView view="pageBreakPreview" topLeftCell="A783" zoomScale="85" zoomScaleSheetLayoutView="85" workbookViewId="0">
      <selection activeCell="M791" sqref="M791"/>
    </sheetView>
  </sheetViews>
  <sheetFormatPr defaultColWidth="9.140625" defaultRowHeight="15" x14ac:dyDescent="0.25"/>
  <cols>
    <col min="1" max="2" width="9.140625" style="40"/>
    <col min="3" max="3" width="14.42578125" style="40" customWidth="1"/>
    <col min="4" max="4" width="7.5703125" style="40" customWidth="1"/>
    <col min="5" max="5" width="62.140625" style="40" customWidth="1"/>
    <col min="6" max="6" width="10.28515625" style="40" hidden="1" customWidth="1"/>
    <col min="7" max="7" width="12.28515625" style="40" customWidth="1"/>
    <col min="8" max="10" width="11.140625" style="40" customWidth="1"/>
    <col min="11" max="11" width="9.28515625" style="40" bestFit="1" customWidth="1"/>
    <col min="12" max="13" width="9.140625" style="40"/>
    <col min="14" max="15" width="9.28515625" style="40" bestFit="1" customWidth="1"/>
    <col min="16" max="16384" width="9.140625" style="40"/>
  </cols>
  <sheetData>
    <row r="1" spans="1:9" ht="15.75" x14ac:dyDescent="0.25">
      <c r="C1" s="38"/>
      <c r="D1" s="38"/>
      <c r="E1" s="38"/>
      <c r="F1" s="39"/>
      <c r="G1" s="518" t="s">
        <v>766</v>
      </c>
      <c r="H1" s="518"/>
      <c r="I1" s="518"/>
    </row>
    <row r="2" spans="1:9" ht="15.75" x14ac:dyDescent="0.25">
      <c r="C2" s="38"/>
      <c r="D2" s="38"/>
      <c r="E2" s="161"/>
      <c r="F2" s="162"/>
      <c r="G2" s="519" t="s">
        <v>767</v>
      </c>
      <c r="H2" s="519"/>
      <c r="I2" s="519"/>
    </row>
    <row r="3" spans="1:9" ht="15.75" x14ac:dyDescent="0.25">
      <c r="C3" s="41"/>
      <c r="D3" s="41"/>
      <c r="E3" s="522" t="s">
        <v>851</v>
      </c>
      <c r="F3" s="522"/>
      <c r="G3" s="523" t="s">
        <v>1404</v>
      </c>
      <c r="H3" s="523"/>
      <c r="I3" s="523"/>
    </row>
    <row r="4" spans="1:9" ht="15.75" x14ac:dyDescent="0.25">
      <c r="C4" s="41"/>
      <c r="D4" s="41"/>
      <c r="E4" s="522"/>
      <c r="F4" s="522"/>
      <c r="G4" s="523" t="s">
        <v>1405</v>
      </c>
      <c r="H4" s="523"/>
      <c r="I4" s="523"/>
    </row>
    <row r="5" spans="1:9" ht="15" customHeight="1" x14ac:dyDescent="0.25">
      <c r="C5" s="38"/>
      <c r="D5" s="38"/>
      <c r="E5" s="38"/>
      <c r="F5" s="521" t="s">
        <v>1406</v>
      </c>
      <c r="G5" s="521"/>
      <c r="H5" s="521"/>
      <c r="I5" s="521"/>
    </row>
    <row r="6" spans="1:9" ht="15.75" customHeight="1" x14ac:dyDescent="0.25">
      <c r="C6" s="38"/>
      <c r="D6" s="38"/>
      <c r="E6" s="38"/>
      <c r="F6" s="109"/>
      <c r="G6" s="524"/>
      <c r="H6" s="524"/>
      <c r="I6" s="524"/>
    </row>
    <row r="7" spans="1:9" ht="30" customHeight="1" x14ac:dyDescent="0.25">
      <c r="A7" s="473" t="s">
        <v>1371</v>
      </c>
      <c r="B7" s="473"/>
      <c r="C7" s="473"/>
      <c r="D7" s="473"/>
      <c r="E7" s="473"/>
      <c r="F7" s="473"/>
      <c r="G7" s="473"/>
      <c r="H7" s="473"/>
      <c r="I7" s="473"/>
    </row>
    <row r="8" spans="1:9" ht="39" x14ac:dyDescent="0.25">
      <c r="A8" s="110" t="s">
        <v>663</v>
      </c>
      <c r="B8" s="110" t="s">
        <v>664</v>
      </c>
      <c r="C8" s="146" t="s">
        <v>0</v>
      </c>
      <c r="D8" s="146" t="s">
        <v>1</v>
      </c>
      <c r="E8" s="146" t="s">
        <v>2</v>
      </c>
      <c r="F8" s="146" t="s">
        <v>3</v>
      </c>
      <c r="G8" s="146" t="s">
        <v>3</v>
      </c>
      <c r="H8" s="146" t="s">
        <v>4</v>
      </c>
      <c r="I8" s="146" t="s">
        <v>5</v>
      </c>
    </row>
    <row r="9" spans="1:9" x14ac:dyDescent="0.25">
      <c r="A9" s="113">
        <v>601</v>
      </c>
      <c r="B9" s="113"/>
      <c r="C9" s="113"/>
      <c r="D9" s="113"/>
      <c r="E9" s="114" t="s">
        <v>665</v>
      </c>
      <c r="F9" s="42"/>
      <c r="G9" s="96">
        <f>G10+G107+G116+G164+G256+G381+G398</f>
        <v>319145.99149999995</v>
      </c>
      <c r="H9" s="96">
        <f>H10+H107+H116+H164+H256+H381+H398</f>
        <v>259202.15300000002</v>
      </c>
      <c r="I9" s="96">
        <f>I10+I107+I116+I164+I256+I381+I398</f>
        <v>311876.91599999997</v>
      </c>
    </row>
    <row r="10" spans="1:9" x14ac:dyDescent="0.25">
      <c r="A10" s="115"/>
      <c r="B10" s="27" t="s">
        <v>666</v>
      </c>
      <c r="C10" s="116"/>
      <c r="D10" s="115"/>
      <c r="E10" s="117" t="s">
        <v>1388</v>
      </c>
      <c r="F10" s="42"/>
      <c r="G10" s="145">
        <f>G11+G18+G53+G60</f>
        <v>79171.900000000009</v>
      </c>
      <c r="H10" s="145">
        <f t="shared" ref="H10:I10" si="0">H11+H18+H53+H60</f>
        <v>77340.900000000009</v>
      </c>
      <c r="I10" s="145">
        <f t="shared" si="0"/>
        <v>77769.600000000006</v>
      </c>
    </row>
    <row r="11" spans="1:9" ht="25.5" x14ac:dyDescent="0.25">
      <c r="A11" s="115"/>
      <c r="B11" s="27" t="s">
        <v>667</v>
      </c>
      <c r="C11" s="116"/>
      <c r="D11" s="115"/>
      <c r="E11" s="117" t="s">
        <v>668</v>
      </c>
      <c r="F11" s="42"/>
      <c r="G11" s="145">
        <f>G12</f>
        <v>2036.9</v>
      </c>
      <c r="H11" s="145">
        <f t="shared" ref="H11:I11" si="1">H12</f>
        <v>2036.9</v>
      </c>
      <c r="I11" s="145">
        <f t="shared" si="1"/>
        <v>2036.9</v>
      </c>
    </row>
    <row r="12" spans="1:9" ht="24.75" x14ac:dyDescent="0.25">
      <c r="A12" s="115"/>
      <c r="B12" s="27"/>
      <c r="C12" s="127" t="s">
        <v>6</v>
      </c>
      <c r="D12" s="43"/>
      <c r="E12" s="44" t="s">
        <v>7</v>
      </c>
      <c r="F12" s="42"/>
      <c r="G12" s="145">
        <f>G13</f>
        <v>2036.9</v>
      </c>
      <c r="H12" s="145">
        <f t="shared" ref="H12:I15" si="2">H13</f>
        <v>2036.9</v>
      </c>
      <c r="I12" s="145">
        <f t="shared" si="2"/>
        <v>2036.9</v>
      </c>
    </row>
    <row r="13" spans="1:9" ht="25.5" x14ac:dyDescent="0.25">
      <c r="A13" s="129"/>
      <c r="B13" s="130"/>
      <c r="C13" s="131" t="s">
        <v>8</v>
      </c>
      <c r="D13" s="130"/>
      <c r="E13" s="132" t="s">
        <v>9</v>
      </c>
      <c r="F13" s="57"/>
      <c r="G13" s="141">
        <f>G14</f>
        <v>2036.9</v>
      </c>
      <c r="H13" s="141">
        <f t="shared" si="2"/>
        <v>2036.9</v>
      </c>
      <c r="I13" s="141">
        <f t="shared" si="2"/>
        <v>2036.9</v>
      </c>
    </row>
    <row r="14" spans="1:9" ht="39" x14ac:dyDescent="0.25">
      <c r="A14" s="49"/>
      <c r="B14" s="49"/>
      <c r="C14" s="49" t="s">
        <v>25</v>
      </c>
      <c r="D14" s="49"/>
      <c r="E14" s="55" t="s">
        <v>26</v>
      </c>
      <c r="F14" s="42"/>
      <c r="G14" s="51">
        <f>G15</f>
        <v>2036.9</v>
      </c>
      <c r="H14" s="51">
        <f t="shared" si="2"/>
        <v>2036.9</v>
      </c>
      <c r="I14" s="51">
        <f t="shared" si="2"/>
        <v>2036.9</v>
      </c>
    </row>
    <row r="15" spans="1:9" ht="39" x14ac:dyDescent="0.25">
      <c r="A15" s="52"/>
      <c r="B15" s="52"/>
      <c r="C15" s="52" t="s">
        <v>27</v>
      </c>
      <c r="D15" s="52"/>
      <c r="E15" s="53" t="s">
        <v>28</v>
      </c>
      <c r="F15" s="42"/>
      <c r="G15" s="25">
        <f>G16</f>
        <v>2036.9</v>
      </c>
      <c r="H15" s="25">
        <f t="shared" si="2"/>
        <v>2036.9</v>
      </c>
      <c r="I15" s="25">
        <f t="shared" si="2"/>
        <v>2036.9</v>
      </c>
    </row>
    <row r="16" spans="1:9" ht="26.25" x14ac:dyDescent="0.25">
      <c r="A16" s="111"/>
      <c r="B16" s="111"/>
      <c r="C16" s="11" t="s">
        <v>29</v>
      </c>
      <c r="D16" s="11"/>
      <c r="E16" s="5" t="s">
        <v>30</v>
      </c>
      <c r="F16" s="22" t="e">
        <f>#REF!</f>
        <v>#REF!</v>
      </c>
      <c r="G16" s="22">
        <v>2036.9</v>
      </c>
      <c r="H16" s="22">
        <v>2036.9</v>
      </c>
      <c r="I16" s="22">
        <v>2036.9</v>
      </c>
    </row>
    <row r="17" spans="1:9" ht="51.75" x14ac:dyDescent="0.25">
      <c r="A17" s="111"/>
      <c r="B17" s="111"/>
      <c r="C17" s="11"/>
      <c r="D17" s="1" t="s">
        <v>535</v>
      </c>
      <c r="E17" s="2" t="s">
        <v>536</v>
      </c>
      <c r="F17" s="22"/>
      <c r="G17" s="22">
        <v>2036.9</v>
      </c>
      <c r="H17" s="22">
        <v>2036.9</v>
      </c>
      <c r="I17" s="22">
        <v>2036.9</v>
      </c>
    </row>
    <row r="18" spans="1:9" s="67" customFormat="1" ht="39" x14ac:dyDescent="0.25">
      <c r="A18" s="119"/>
      <c r="B18" s="27" t="s">
        <v>669</v>
      </c>
      <c r="C18" s="20"/>
      <c r="D18" s="120"/>
      <c r="E18" s="121" t="s">
        <v>670</v>
      </c>
      <c r="F18" s="45"/>
      <c r="G18" s="128">
        <f>G19+G49</f>
        <v>43853.500000000007</v>
      </c>
      <c r="H18" s="128">
        <f t="shared" ref="H18:I18" si="3">H19+H49</f>
        <v>43934.400000000001</v>
      </c>
      <c r="I18" s="128">
        <f t="shared" si="3"/>
        <v>43934.400000000001</v>
      </c>
    </row>
    <row r="19" spans="1:9" s="67" customFormat="1" ht="24.75" x14ac:dyDescent="0.25">
      <c r="A19" s="119"/>
      <c r="B19" s="27"/>
      <c r="C19" s="127" t="s">
        <v>6</v>
      </c>
      <c r="D19" s="43"/>
      <c r="E19" s="44" t="s">
        <v>7</v>
      </c>
      <c r="F19" s="45"/>
      <c r="G19" s="128">
        <f>G20+G44</f>
        <v>43850.200000000004</v>
      </c>
      <c r="H19" s="128">
        <f t="shared" ref="H19:I19" si="4">H20+H44</f>
        <v>43930.9</v>
      </c>
      <c r="I19" s="128">
        <f t="shared" si="4"/>
        <v>43930.9</v>
      </c>
    </row>
    <row r="20" spans="1:9" ht="25.5" x14ac:dyDescent="0.25">
      <c r="A20" s="129"/>
      <c r="B20" s="130"/>
      <c r="C20" s="131" t="s">
        <v>8</v>
      </c>
      <c r="D20" s="130"/>
      <c r="E20" s="132" t="s">
        <v>9</v>
      </c>
      <c r="F20" s="57"/>
      <c r="G20" s="141">
        <f>G21+G26</f>
        <v>43784.100000000006</v>
      </c>
      <c r="H20" s="141">
        <f t="shared" ref="H20:I20" si="5">H21+H26</f>
        <v>43862</v>
      </c>
      <c r="I20" s="141">
        <f t="shared" si="5"/>
        <v>43862</v>
      </c>
    </row>
    <row r="21" spans="1:9" ht="39" x14ac:dyDescent="0.25">
      <c r="A21" s="49"/>
      <c r="B21" s="49"/>
      <c r="C21" s="49" t="s">
        <v>25</v>
      </c>
      <c r="D21" s="49"/>
      <c r="E21" s="55" t="s">
        <v>26</v>
      </c>
      <c r="F21" s="22"/>
      <c r="G21" s="125">
        <f>G22</f>
        <v>41872.800000000003</v>
      </c>
      <c r="H21" s="125">
        <f t="shared" ref="H21:I22" si="6">H22</f>
        <v>41872.800000000003</v>
      </c>
      <c r="I21" s="125">
        <f t="shared" si="6"/>
        <v>41872.800000000003</v>
      </c>
    </row>
    <row r="22" spans="1:9" ht="39" x14ac:dyDescent="0.25">
      <c r="A22" s="52"/>
      <c r="B22" s="52"/>
      <c r="C22" s="52" t="s">
        <v>27</v>
      </c>
      <c r="D22" s="52"/>
      <c r="E22" s="53" t="s">
        <v>28</v>
      </c>
      <c r="F22" s="22"/>
      <c r="G22" s="126">
        <f>G23</f>
        <v>41872.800000000003</v>
      </c>
      <c r="H22" s="126">
        <f t="shared" si="6"/>
        <v>41872.800000000003</v>
      </c>
      <c r="I22" s="126">
        <f t="shared" si="6"/>
        <v>41872.800000000003</v>
      </c>
    </row>
    <row r="23" spans="1:9" ht="25.5" x14ac:dyDescent="0.25">
      <c r="A23" s="111"/>
      <c r="B23" s="111"/>
      <c r="C23" s="11" t="s">
        <v>31</v>
      </c>
      <c r="D23" s="11"/>
      <c r="E23" s="3" t="s">
        <v>32</v>
      </c>
      <c r="F23" s="22" t="e">
        <f>#REF!+#REF!</f>
        <v>#REF!</v>
      </c>
      <c r="G23" s="22">
        <f>G24+G25</f>
        <v>41872.800000000003</v>
      </c>
      <c r="H23" s="22">
        <f t="shared" ref="H23:I23" si="7">H24+H25</f>
        <v>41872.800000000003</v>
      </c>
      <c r="I23" s="22">
        <f t="shared" si="7"/>
        <v>41872.800000000003</v>
      </c>
    </row>
    <row r="24" spans="1:9" ht="51.75" x14ac:dyDescent="0.25">
      <c r="A24" s="111"/>
      <c r="B24" s="111"/>
      <c r="C24" s="11"/>
      <c r="D24" s="11" t="s">
        <v>535</v>
      </c>
      <c r="E24" s="2" t="s">
        <v>536</v>
      </c>
      <c r="F24" s="22"/>
      <c r="G24" s="22">
        <v>39479.5</v>
      </c>
      <c r="H24" s="22">
        <v>39479.5</v>
      </c>
      <c r="I24" s="22">
        <v>39479.5</v>
      </c>
    </row>
    <row r="25" spans="1:9" ht="26.25" x14ac:dyDescent="0.25">
      <c r="A25" s="111"/>
      <c r="B25" s="111"/>
      <c r="C25" s="11"/>
      <c r="D25" s="11" t="s">
        <v>344</v>
      </c>
      <c r="E25" s="2" t="s">
        <v>345</v>
      </c>
      <c r="F25" s="22"/>
      <c r="G25" s="22">
        <v>2393.3000000000002</v>
      </c>
      <c r="H25" s="22">
        <v>2393.3000000000002</v>
      </c>
      <c r="I25" s="22">
        <v>2393.3000000000002</v>
      </c>
    </row>
    <row r="26" spans="1:9" ht="39" x14ac:dyDescent="0.25">
      <c r="A26" s="49"/>
      <c r="B26" s="49"/>
      <c r="C26" s="49" t="s">
        <v>35</v>
      </c>
      <c r="D26" s="49"/>
      <c r="E26" s="50" t="s">
        <v>36</v>
      </c>
      <c r="F26" s="51" t="e">
        <f t="shared" ref="F26:I26" si="8">F27</f>
        <v>#REF!</v>
      </c>
      <c r="G26" s="51">
        <f t="shared" si="8"/>
        <v>1911.3000000000002</v>
      </c>
      <c r="H26" s="51">
        <f t="shared" si="8"/>
        <v>1989.1999999999998</v>
      </c>
      <c r="I26" s="51">
        <f t="shared" si="8"/>
        <v>1989.1999999999998</v>
      </c>
    </row>
    <row r="27" spans="1:9" ht="26.25" x14ac:dyDescent="0.25">
      <c r="A27" s="52"/>
      <c r="B27" s="52"/>
      <c r="C27" s="52" t="s">
        <v>37</v>
      </c>
      <c r="D27" s="56"/>
      <c r="E27" s="53" t="s">
        <v>38</v>
      </c>
      <c r="F27" s="25" t="e">
        <f>F28+F31+F34+F36+F39+F42+#REF!+#REF!+#REF!</f>
        <v>#REF!</v>
      </c>
      <c r="G27" s="25">
        <f>G28+G31+G34+G36+G39+G42</f>
        <v>1911.3000000000002</v>
      </c>
      <c r="H27" s="25">
        <f t="shared" ref="H27:I27" si="9">H28+H31+H34+H36+H39+H42</f>
        <v>1989.1999999999998</v>
      </c>
      <c r="I27" s="25">
        <f t="shared" si="9"/>
        <v>1989.1999999999998</v>
      </c>
    </row>
    <row r="28" spans="1:9" ht="26.25" x14ac:dyDescent="0.25">
      <c r="A28" s="111"/>
      <c r="B28" s="111"/>
      <c r="C28" s="11" t="s">
        <v>39</v>
      </c>
      <c r="D28" s="11"/>
      <c r="E28" s="14" t="s">
        <v>40</v>
      </c>
      <c r="F28" s="57" t="e">
        <f>SUM(#REF!)</f>
        <v>#REF!</v>
      </c>
      <c r="G28" s="57">
        <v>907</v>
      </c>
      <c r="H28" s="57">
        <v>943.9</v>
      </c>
      <c r="I28" s="57">
        <v>943.9</v>
      </c>
    </row>
    <row r="29" spans="1:9" ht="51.75" x14ac:dyDescent="0.25">
      <c r="A29" s="111"/>
      <c r="B29" s="111"/>
      <c r="C29" s="11"/>
      <c r="D29" s="11" t="s">
        <v>535</v>
      </c>
      <c r="E29" s="2" t="s">
        <v>536</v>
      </c>
      <c r="F29" s="57"/>
      <c r="G29" s="57">
        <v>836.4</v>
      </c>
      <c r="H29" s="57">
        <v>836.4</v>
      </c>
      <c r="I29" s="57">
        <v>836.4</v>
      </c>
    </row>
    <row r="30" spans="1:9" ht="26.25" x14ac:dyDescent="0.25">
      <c r="A30" s="111"/>
      <c r="B30" s="111"/>
      <c r="C30" s="11"/>
      <c r="D30" s="11" t="s">
        <v>344</v>
      </c>
      <c r="E30" s="2" t="s">
        <v>345</v>
      </c>
      <c r="F30" s="57"/>
      <c r="G30" s="57">
        <v>70.599999999999994</v>
      </c>
      <c r="H30" s="57">
        <v>107.5</v>
      </c>
      <c r="I30" s="57">
        <v>107.5</v>
      </c>
    </row>
    <row r="31" spans="1:9" ht="26.25" x14ac:dyDescent="0.25">
      <c r="A31" s="111"/>
      <c r="B31" s="111"/>
      <c r="C31" s="11" t="s">
        <v>41</v>
      </c>
      <c r="D31" s="11"/>
      <c r="E31" s="14" t="s">
        <v>42</v>
      </c>
      <c r="F31" s="57" t="e">
        <f>SUM(#REF!)</f>
        <v>#REF!</v>
      </c>
      <c r="G31" s="57">
        <v>534.70000000000005</v>
      </c>
      <c r="H31" s="57">
        <v>556.20000000000005</v>
      </c>
      <c r="I31" s="57">
        <v>556.20000000000005</v>
      </c>
    </row>
    <row r="32" spans="1:9" ht="51.75" x14ac:dyDescent="0.25">
      <c r="A32" s="111"/>
      <c r="B32" s="111"/>
      <c r="C32" s="11"/>
      <c r="D32" s="11" t="s">
        <v>535</v>
      </c>
      <c r="E32" s="2" t="s">
        <v>536</v>
      </c>
      <c r="F32" s="57"/>
      <c r="G32" s="57">
        <v>477.9</v>
      </c>
      <c r="H32" s="57">
        <v>477.9</v>
      </c>
      <c r="I32" s="57">
        <v>477.9</v>
      </c>
    </row>
    <row r="33" spans="1:9" ht="26.25" x14ac:dyDescent="0.25">
      <c r="A33" s="111"/>
      <c r="B33" s="111"/>
      <c r="C33" s="11"/>
      <c r="D33" s="11" t="s">
        <v>344</v>
      </c>
      <c r="E33" s="2" t="s">
        <v>345</v>
      </c>
      <c r="F33" s="57"/>
      <c r="G33" s="57">
        <v>56.8</v>
      </c>
      <c r="H33" s="57">
        <v>78.3</v>
      </c>
      <c r="I33" s="57">
        <v>78.3</v>
      </c>
    </row>
    <row r="34" spans="1:9" x14ac:dyDescent="0.25">
      <c r="A34" s="111"/>
      <c r="B34" s="111"/>
      <c r="C34" s="11" t="s">
        <v>43</v>
      </c>
      <c r="D34" s="11"/>
      <c r="E34" s="14" t="s">
        <v>44</v>
      </c>
      <c r="F34" s="57" t="e">
        <f>#REF!</f>
        <v>#REF!</v>
      </c>
      <c r="G34" s="57">
        <v>17.8</v>
      </c>
      <c r="H34" s="57">
        <v>17.8</v>
      </c>
      <c r="I34" s="57">
        <v>17.8</v>
      </c>
    </row>
    <row r="35" spans="1:9" ht="26.25" x14ac:dyDescent="0.25">
      <c r="A35" s="111"/>
      <c r="B35" s="111"/>
      <c r="C35" s="11"/>
      <c r="D35" s="11" t="s">
        <v>344</v>
      </c>
      <c r="E35" s="2" t="s">
        <v>345</v>
      </c>
      <c r="F35" s="57"/>
      <c r="G35" s="57">
        <v>17.8</v>
      </c>
      <c r="H35" s="57">
        <v>17.8</v>
      </c>
      <c r="I35" s="57">
        <v>17.8</v>
      </c>
    </row>
    <row r="36" spans="1:9" ht="26.25" x14ac:dyDescent="0.25">
      <c r="A36" s="111"/>
      <c r="B36" s="111"/>
      <c r="C36" s="11" t="s">
        <v>45</v>
      </c>
      <c r="D36" s="11"/>
      <c r="E36" s="5" t="s">
        <v>46</v>
      </c>
      <c r="F36" s="57" t="e">
        <f>SUM(#REF!)</f>
        <v>#REF!</v>
      </c>
      <c r="G36" s="57">
        <v>52.7</v>
      </c>
      <c r="H36" s="57">
        <v>55</v>
      </c>
      <c r="I36" s="57">
        <v>55</v>
      </c>
    </row>
    <row r="37" spans="1:9" ht="51.75" x14ac:dyDescent="0.25">
      <c r="A37" s="111"/>
      <c r="B37" s="111"/>
      <c r="C37" s="11"/>
      <c r="D37" s="11" t="s">
        <v>535</v>
      </c>
      <c r="E37" s="2" t="s">
        <v>536</v>
      </c>
      <c r="F37" s="57"/>
      <c r="G37" s="57">
        <v>47.8</v>
      </c>
      <c r="H37" s="57">
        <v>47.8</v>
      </c>
      <c r="I37" s="57">
        <v>47.8</v>
      </c>
    </row>
    <row r="38" spans="1:9" ht="26.25" x14ac:dyDescent="0.25">
      <c r="A38" s="111"/>
      <c r="B38" s="111"/>
      <c r="C38" s="11"/>
      <c r="D38" s="11" t="s">
        <v>344</v>
      </c>
      <c r="E38" s="2" t="s">
        <v>345</v>
      </c>
      <c r="F38" s="57"/>
      <c r="G38" s="57">
        <v>4.9000000000000004</v>
      </c>
      <c r="H38" s="57">
        <v>7.2</v>
      </c>
      <c r="I38" s="57">
        <v>7.2</v>
      </c>
    </row>
    <row r="39" spans="1:9" ht="26.25" x14ac:dyDescent="0.25">
      <c r="A39" s="111"/>
      <c r="B39" s="111"/>
      <c r="C39" s="11" t="s">
        <v>47</v>
      </c>
      <c r="D39" s="11"/>
      <c r="E39" s="5" t="s">
        <v>1402</v>
      </c>
      <c r="F39" s="57" t="e">
        <f>#REF!+#REF!</f>
        <v>#REF!</v>
      </c>
      <c r="G39" s="57">
        <v>387.7</v>
      </c>
      <c r="H39" s="57">
        <v>404.4</v>
      </c>
      <c r="I39" s="57">
        <v>404.4</v>
      </c>
    </row>
    <row r="40" spans="1:9" ht="51.75" x14ac:dyDescent="0.25">
      <c r="A40" s="111"/>
      <c r="B40" s="111"/>
      <c r="C40" s="11"/>
      <c r="D40" s="11" t="s">
        <v>535</v>
      </c>
      <c r="E40" s="2" t="s">
        <v>536</v>
      </c>
      <c r="F40" s="57"/>
      <c r="G40" s="57">
        <v>365.5</v>
      </c>
      <c r="H40" s="57">
        <v>365.5</v>
      </c>
      <c r="I40" s="57">
        <v>365.5</v>
      </c>
    </row>
    <row r="41" spans="1:9" ht="26.25" x14ac:dyDescent="0.25">
      <c r="A41" s="111"/>
      <c r="B41" s="111"/>
      <c r="C41" s="11"/>
      <c r="D41" s="11" t="s">
        <v>344</v>
      </c>
      <c r="E41" s="2" t="s">
        <v>345</v>
      </c>
      <c r="F41" s="57"/>
      <c r="G41" s="57">
        <v>22.2</v>
      </c>
      <c r="H41" s="57">
        <v>38.9</v>
      </c>
      <c r="I41" s="57">
        <v>38.9</v>
      </c>
    </row>
    <row r="42" spans="1:9" ht="39" x14ac:dyDescent="0.25">
      <c r="A42" s="111"/>
      <c r="B42" s="111"/>
      <c r="C42" s="11" t="s">
        <v>48</v>
      </c>
      <c r="D42" s="11"/>
      <c r="E42" s="14" t="s">
        <v>49</v>
      </c>
      <c r="F42" s="57" t="e">
        <f>#REF!</f>
        <v>#REF!</v>
      </c>
      <c r="G42" s="57">
        <v>11.4</v>
      </c>
      <c r="H42" s="57">
        <v>11.9</v>
      </c>
      <c r="I42" s="57">
        <v>11.9</v>
      </c>
    </row>
    <row r="43" spans="1:9" ht="26.25" x14ac:dyDescent="0.25">
      <c r="A43" s="111"/>
      <c r="B43" s="111"/>
      <c r="C43" s="11"/>
      <c r="D43" s="11" t="s">
        <v>344</v>
      </c>
      <c r="E43" s="2" t="s">
        <v>345</v>
      </c>
      <c r="F43" s="57"/>
      <c r="G43" s="57">
        <v>11.4</v>
      </c>
      <c r="H43" s="57">
        <v>11.9</v>
      </c>
      <c r="I43" s="57">
        <v>11.9</v>
      </c>
    </row>
    <row r="44" spans="1:9" ht="36.75" customHeight="1" x14ac:dyDescent="0.25">
      <c r="A44" s="129"/>
      <c r="B44" s="130"/>
      <c r="C44" s="131" t="s">
        <v>218</v>
      </c>
      <c r="D44" s="130"/>
      <c r="E44" s="132" t="s">
        <v>219</v>
      </c>
      <c r="F44" s="57" t="e">
        <f>#REF!+#REF!+F45+#REF!+#REF!</f>
        <v>#REF!</v>
      </c>
      <c r="G44" s="141">
        <f>G45</f>
        <v>66.099999999999994</v>
      </c>
      <c r="H44" s="141">
        <f t="shared" ref="H44:I45" si="10">H45</f>
        <v>68.900000000000006</v>
      </c>
      <c r="I44" s="141">
        <f t="shared" si="10"/>
        <v>68.900000000000006</v>
      </c>
    </row>
    <row r="45" spans="1:9" ht="39" x14ac:dyDescent="0.25">
      <c r="A45" s="52"/>
      <c r="B45" s="52"/>
      <c r="C45" s="52" t="s">
        <v>232</v>
      </c>
      <c r="D45" s="52"/>
      <c r="E45" s="53" t="s">
        <v>233</v>
      </c>
      <c r="F45" s="25" t="e">
        <f>#REF!+#REF!+F46</f>
        <v>#REF!</v>
      </c>
      <c r="G45" s="25">
        <f>G46</f>
        <v>66.099999999999994</v>
      </c>
      <c r="H45" s="25">
        <f t="shared" si="10"/>
        <v>68.900000000000006</v>
      </c>
      <c r="I45" s="25">
        <f t="shared" si="10"/>
        <v>68.900000000000006</v>
      </c>
    </row>
    <row r="46" spans="1:9" ht="51" x14ac:dyDescent="0.25">
      <c r="A46" s="111"/>
      <c r="B46" s="111"/>
      <c r="C46" s="11" t="s">
        <v>238</v>
      </c>
      <c r="D46" s="11"/>
      <c r="E46" s="3" t="s">
        <v>239</v>
      </c>
      <c r="F46" s="22" t="e">
        <f>SUM(#REF!)</f>
        <v>#REF!</v>
      </c>
      <c r="G46" s="22">
        <v>66.099999999999994</v>
      </c>
      <c r="H46" s="22">
        <v>68.900000000000006</v>
      </c>
      <c r="I46" s="22">
        <v>68.900000000000006</v>
      </c>
    </row>
    <row r="47" spans="1:9" ht="51.75" x14ac:dyDescent="0.25">
      <c r="A47" s="111"/>
      <c r="B47" s="111"/>
      <c r="C47" s="11"/>
      <c r="D47" s="11" t="s">
        <v>535</v>
      </c>
      <c r="E47" s="5" t="s">
        <v>536</v>
      </c>
      <c r="F47" s="22"/>
      <c r="G47" s="22">
        <v>47.8</v>
      </c>
      <c r="H47" s="22">
        <v>47.8</v>
      </c>
      <c r="I47" s="22">
        <v>47.8</v>
      </c>
    </row>
    <row r="48" spans="1:9" ht="26.25" x14ac:dyDescent="0.25">
      <c r="A48" s="111"/>
      <c r="B48" s="111"/>
      <c r="C48" s="11"/>
      <c r="D48" s="11" t="s">
        <v>344</v>
      </c>
      <c r="E48" s="2" t="s">
        <v>345</v>
      </c>
      <c r="F48" s="22"/>
      <c r="G48" s="22">
        <v>18.3</v>
      </c>
      <c r="H48" s="22">
        <v>21.1</v>
      </c>
      <c r="I48" s="22">
        <v>21.1</v>
      </c>
    </row>
    <row r="49" spans="1:9" s="67" customFormat="1" x14ac:dyDescent="0.25">
      <c r="A49" s="119"/>
      <c r="B49" s="119"/>
      <c r="C49" s="116" t="s">
        <v>671</v>
      </c>
      <c r="D49" s="27"/>
      <c r="E49" s="122" t="s">
        <v>672</v>
      </c>
      <c r="F49" s="124"/>
      <c r="G49" s="124">
        <f>G50</f>
        <v>3.3</v>
      </c>
      <c r="H49" s="124">
        <f t="shared" ref="H49:I51" si="11">H50</f>
        <v>3.5</v>
      </c>
      <c r="I49" s="124">
        <f t="shared" si="11"/>
        <v>3.5</v>
      </c>
    </row>
    <row r="50" spans="1:9" s="67" customFormat="1" ht="38.25" x14ac:dyDescent="0.25">
      <c r="A50" s="119"/>
      <c r="B50" s="119"/>
      <c r="C50" s="116" t="s">
        <v>539</v>
      </c>
      <c r="D50" s="27"/>
      <c r="E50" s="122" t="s">
        <v>673</v>
      </c>
      <c r="F50" s="124"/>
      <c r="G50" s="124">
        <f>G51</f>
        <v>3.3</v>
      </c>
      <c r="H50" s="124">
        <f t="shared" si="11"/>
        <v>3.5</v>
      </c>
      <c r="I50" s="124">
        <f t="shared" si="11"/>
        <v>3.5</v>
      </c>
    </row>
    <row r="51" spans="1:9" ht="38.25" x14ac:dyDescent="0.25">
      <c r="A51" s="111"/>
      <c r="B51" s="111"/>
      <c r="C51" s="123" t="s">
        <v>560</v>
      </c>
      <c r="D51" s="26"/>
      <c r="E51" s="3" t="s">
        <v>561</v>
      </c>
      <c r="F51" s="57"/>
      <c r="G51" s="57">
        <f>G52</f>
        <v>3.3</v>
      </c>
      <c r="H51" s="57">
        <f t="shared" si="11"/>
        <v>3.5</v>
      </c>
      <c r="I51" s="57">
        <f t="shared" si="11"/>
        <v>3.5</v>
      </c>
    </row>
    <row r="52" spans="1:9" ht="25.5" x14ac:dyDescent="0.25">
      <c r="A52" s="111"/>
      <c r="B52" s="111"/>
      <c r="C52" s="123"/>
      <c r="D52" s="26" t="s">
        <v>344</v>
      </c>
      <c r="E52" s="3" t="s">
        <v>345</v>
      </c>
      <c r="F52" s="57"/>
      <c r="G52" s="57">
        <v>3.3</v>
      </c>
      <c r="H52" s="57">
        <v>3.5</v>
      </c>
      <c r="I52" s="57">
        <v>3.5</v>
      </c>
    </row>
    <row r="53" spans="1:9" x14ac:dyDescent="0.25">
      <c r="A53" s="115"/>
      <c r="B53" s="27" t="s">
        <v>674</v>
      </c>
      <c r="C53" s="116"/>
      <c r="D53" s="27"/>
      <c r="E53" s="122" t="s">
        <v>675</v>
      </c>
      <c r="F53" s="57"/>
      <c r="G53" s="124">
        <f>G54</f>
        <v>0.90000000000000013</v>
      </c>
      <c r="H53" s="124">
        <f t="shared" ref="H53:I57" si="12">H54</f>
        <v>0.90000000000000013</v>
      </c>
      <c r="I53" s="124">
        <f t="shared" si="12"/>
        <v>0.8</v>
      </c>
    </row>
    <row r="54" spans="1:9" s="144" customFormat="1" ht="25.5" x14ac:dyDescent="0.2">
      <c r="A54" s="115"/>
      <c r="B54" s="27"/>
      <c r="C54" s="115" t="s">
        <v>6</v>
      </c>
      <c r="D54" s="127"/>
      <c r="E54" s="118" t="s">
        <v>7</v>
      </c>
      <c r="F54" s="57"/>
      <c r="G54" s="124">
        <f>G55</f>
        <v>0.90000000000000013</v>
      </c>
      <c r="H54" s="124">
        <f t="shared" si="12"/>
        <v>0.90000000000000013</v>
      </c>
      <c r="I54" s="124">
        <f t="shared" si="12"/>
        <v>0.8</v>
      </c>
    </row>
    <row r="55" spans="1:9" ht="25.5" x14ac:dyDescent="0.25">
      <c r="A55" s="129"/>
      <c r="B55" s="130"/>
      <c r="C55" s="131" t="s">
        <v>8</v>
      </c>
      <c r="D55" s="130"/>
      <c r="E55" s="132" t="s">
        <v>9</v>
      </c>
      <c r="F55" s="57"/>
      <c r="G55" s="141">
        <f>G56</f>
        <v>0.90000000000000013</v>
      </c>
      <c r="H55" s="141">
        <f t="shared" si="12"/>
        <v>0.90000000000000013</v>
      </c>
      <c r="I55" s="141">
        <f t="shared" si="12"/>
        <v>0.8</v>
      </c>
    </row>
    <row r="56" spans="1:9" ht="38.25" x14ac:dyDescent="0.25">
      <c r="A56" s="133"/>
      <c r="B56" s="134"/>
      <c r="C56" s="135" t="s">
        <v>35</v>
      </c>
      <c r="D56" s="134"/>
      <c r="E56" s="136" t="s">
        <v>676</v>
      </c>
      <c r="F56" s="57"/>
      <c r="G56" s="142">
        <f>G57</f>
        <v>0.90000000000000013</v>
      </c>
      <c r="H56" s="142">
        <f t="shared" si="12"/>
        <v>0.90000000000000013</v>
      </c>
      <c r="I56" s="142">
        <f t="shared" si="12"/>
        <v>0.8</v>
      </c>
    </row>
    <row r="57" spans="1:9" ht="25.5" x14ac:dyDescent="0.25">
      <c r="A57" s="137"/>
      <c r="B57" s="138"/>
      <c r="C57" s="139" t="s">
        <v>37</v>
      </c>
      <c r="D57" s="138"/>
      <c r="E57" s="140" t="s">
        <v>677</v>
      </c>
      <c r="F57" s="57"/>
      <c r="G57" s="143">
        <f>G58</f>
        <v>0.90000000000000013</v>
      </c>
      <c r="H57" s="143">
        <f t="shared" si="12"/>
        <v>0.90000000000000013</v>
      </c>
      <c r="I57" s="143">
        <f t="shared" si="12"/>
        <v>0.8</v>
      </c>
    </row>
    <row r="58" spans="1:9" ht="39" x14ac:dyDescent="0.25">
      <c r="A58" s="111"/>
      <c r="B58" s="111"/>
      <c r="C58" s="11" t="s">
        <v>50</v>
      </c>
      <c r="D58" s="11"/>
      <c r="E58" s="5" t="s">
        <v>51</v>
      </c>
      <c r="F58" s="57" t="e">
        <f>#REF!</f>
        <v>#REF!</v>
      </c>
      <c r="G58" s="57">
        <f>2.6-1.7</f>
        <v>0.90000000000000013</v>
      </c>
      <c r="H58" s="57">
        <f t="shared" ref="H58:H59" si="13">2.6-1.7</f>
        <v>0.90000000000000013</v>
      </c>
      <c r="I58" s="57">
        <f>2.6-1.8</f>
        <v>0.8</v>
      </c>
    </row>
    <row r="59" spans="1:9" ht="26.25" x14ac:dyDescent="0.25">
      <c r="A59" s="111"/>
      <c r="B59" s="111"/>
      <c r="C59" s="11"/>
      <c r="D59" s="11" t="s">
        <v>344</v>
      </c>
      <c r="E59" s="2" t="s">
        <v>345</v>
      </c>
      <c r="F59" s="57"/>
      <c r="G59" s="57">
        <f>2.6-1.7</f>
        <v>0.90000000000000013</v>
      </c>
      <c r="H59" s="57">
        <f t="shared" si="13"/>
        <v>0.90000000000000013</v>
      </c>
      <c r="I59" s="57">
        <f>2.6-1.8</f>
        <v>0.8</v>
      </c>
    </row>
    <row r="60" spans="1:9" x14ac:dyDescent="0.25">
      <c r="A60" s="115"/>
      <c r="B60" s="27" t="s">
        <v>678</v>
      </c>
      <c r="C60" s="116"/>
      <c r="D60" s="115"/>
      <c r="E60" s="117" t="s">
        <v>679</v>
      </c>
      <c r="F60" s="57"/>
      <c r="G60" s="124">
        <f>G61+G95</f>
        <v>33280.6</v>
      </c>
      <c r="H60" s="124">
        <f>H61+H95</f>
        <v>31368.7</v>
      </c>
      <c r="I60" s="124">
        <f>I61+I95</f>
        <v>31797.5</v>
      </c>
    </row>
    <row r="61" spans="1:9" ht="25.5" x14ac:dyDescent="0.25">
      <c r="A61" s="115"/>
      <c r="B61" s="27"/>
      <c r="C61" s="116" t="s">
        <v>6</v>
      </c>
      <c r="D61" s="115"/>
      <c r="E61" s="122" t="s">
        <v>7</v>
      </c>
      <c r="F61" s="57"/>
      <c r="G61" s="124">
        <f>G62+G90</f>
        <v>2576.1</v>
      </c>
      <c r="H61" s="124">
        <f>H62+H90</f>
        <v>2645.2</v>
      </c>
      <c r="I61" s="124">
        <f>I62+I90</f>
        <v>2705.7000000000003</v>
      </c>
    </row>
    <row r="62" spans="1:9" ht="25.5" x14ac:dyDescent="0.25">
      <c r="A62" s="129"/>
      <c r="B62" s="130"/>
      <c r="C62" s="131" t="s">
        <v>8</v>
      </c>
      <c r="D62" s="130"/>
      <c r="E62" s="132" t="s">
        <v>9</v>
      </c>
      <c r="F62" s="57" t="e">
        <f>F63+F782+F77+F82</f>
        <v>#REF!</v>
      </c>
      <c r="G62" s="141">
        <f>G63+G77+G82</f>
        <v>2276.1</v>
      </c>
      <c r="H62" s="141">
        <f>H63+H77+H82</f>
        <v>2333.1999999999998</v>
      </c>
      <c r="I62" s="141">
        <f>I63+I77+I82</f>
        <v>2381.2000000000003</v>
      </c>
    </row>
    <row r="63" spans="1:9" ht="26.25" x14ac:dyDescent="0.25">
      <c r="A63" s="49"/>
      <c r="B63" s="49"/>
      <c r="C63" s="49" t="s">
        <v>10</v>
      </c>
      <c r="D63" s="49"/>
      <c r="E63" s="50" t="s">
        <v>11</v>
      </c>
      <c r="F63" s="51" t="e">
        <f>F64+F67+F72</f>
        <v>#REF!</v>
      </c>
      <c r="G63" s="51">
        <f>G64+G67+G72</f>
        <v>1053.0999999999999</v>
      </c>
      <c r="H63" s="51">
        <f>H64+H67+H72</f>
        <v>1055.8</v>
      </c>
      <c r="I63" s="51">
        <f>I64+I67+I72</f>
        <v>1098</v>
      </c>
    </row>
    <row r="64" spans="1:9" ht="39" x14ac:dyDescent="0.25">
      <c r="A64" s="52"/>
      <c r="B64" s="52"/>
      <c r="C64" s="52" t="s">
        <v>12</v>
      </c>
      <c r="D64" s="52"/>
      <c r="E64" s="53" t="s">
        <v>13</v>
      </c>
      <c r="F64" s="25" t="e">
        <f>#REF!</f>
        <v>#REF!</v>
      </c>
      <c r="G64" s="25">
        <f>G65</f>
        <v>134</v>
      </c>
      <c r="H64" s="25">
        <f t="shared" ref="H64:I64" si="14">H65</f>
        <v>139.4</v>
      </c>
      <c r="I64" s="25">
        <f t="shared" si="14"/>
        <v>144.9</v>
      </c>
    </row>
    <row r="65" spans="1:9" x14ac:dyDescent="0.25">
      <c r="A65" s="11"/>
      <c r="B65" s="11"/>
      <c r="C65" s="11" t="s">
        <v>588</v>
      </c>
      <c r="D65" s="20"/>
      <c r="E65" s="5" t="s">
        <v>14</v>
      </c>
      <c r="F65" s="22" t="e">
        <f>#REF!</f>
        <v>#REF!</v>
      </c>
      <c r="G65" s="22">
        <v>134</v>
      </c>
      <c r="H65" s="22">
        <v>139.4</v>
      </c>
      <c r="I65" s="22">
        <v>144.9</v>
      </c>
    </row>
    <row r="66" spans="1:9" ht="26.25" x14ac:dyDescent="0.25">
      <c r="A66" s="11"/>
      <c r="B66" s="11"/>
      <c r="C66" s="11"/>
      <c r="D66" s="11" t="s">
        <v>344</v>
      </c>
      <c r="E66" s="2" t="s">
        <v>345</v>
      </c>
      <c r="F66" s="22"/>
      <c r="G66" s="22">
        <v>134</v>
      </c>
      <c r="H66" s="22">
        <v>139.4</v>
      </c>
      <c r="I66" s="22">
        <v>144.9</v>
      </c>
    </row>
    <row r="67" spans="1:9" ht="26.25" x14ac:dyDescent="0.25">
      <c r="A67" s="52"/>
      <c r="B67" s="52"/>
      <c r="C67" s="52" t="s">
        <v>15</v>
      </c>
      <c r="D67" s="52"/>
      <c r="E67" s="53" t="s">
        <v>16</v>
      </c>
      <c r="F67" s="25" t="e">
        <f t="shared" ref="F67:I67" si="15">F68+F70</f>
        <v>#REF!</v>
      </c>
      <c r="G67" s="25">
        <f t="shared" si="15"/>
        <v>799.29999999999984</v>
      </c>
      <c r="H67" s="25">
        <f t="shared" si="15"/>
        <v>791.8</v>
      </c>
      <c r="I67" s="25">
        <f t="shared" si="15"/>
        <v>823.5</v>
      </c>
    </row>
    <row r="68" spans="1:9" ht="51.75" x14ac:dyDescent="0.25">
      <c r="A68" s="11"/>
      <c r="B68" s="11"/>
      <c r="C68" s="11" t="s">
        <v>17</v>
      </c>
      <c r="D68" s="20"/>
      <c r="E68" s="5" t="s">
        <v>18</v>
      </c>
      <c r="F68" s="22" t="e">
        <f>#REF!</f>
        <v>#REF!</v>
      </c>
      <c r="G68" s="22">
        <f>1882.3-1327.4</f>
        <v>554.89999999999986</v>
      </c>
      <c r="H68" s="22">
        <v>537.6</v>
      </c>
      <c r="I68" s="22">
        <v>559.1</v>
      </c>
    </row>
    <row r="69" spans="1:9" ht="26.25" x14ac:dyDescent="0.25">
      <c r="A69" s="11"/>
      <c r="B69" s="11"/>
      <c r="C69" s="11"/>
      <c r="D69" s="11" t="s">
        <v>344</v>
      </c>
      <c r="E69" s="2" t="s">
        <v>345</v>
      </c>
      <c r="F69" s="22"/>
      <c r="G69" s="22">
        <f>1882.3-1327.4</f>
        <v>554.89999999999986</v>
      </c>
      <c r="H69" s="22">
        <v>537.6</v>
      </c>
      <c r="I69" s="22">
        <v>559.1</v>
      </c>
    </row>
    <row r="70" spans="1:9" x14ac:dyDescent="0.25">
      <c r="A70" s="11"/>
      <c r="B70" s="11"/>
      <c r="C70" s="11" t="s">
        <v>589</v>
      </c>
      <c r="D70" s="20"/>
      <c r="E70" s="5" t="s">
        <v>19</v>
      </c>
      <c r="F70" s="22" t="e">
        <f>#REF!</f>
        <v>#REF!</v>
      </c>
      <c r="G70" s="22">
        <v>244.4</v>
      </c>
      <c r="H70" s="22">
        <v>254.2</v>
      </c>
      <c r="I70" s="22">
        <v>264.39999999999998</v>
      </c>
    </row>
    <row r="71" spans="1:9" ht="26.25" x14ac:dyDescent="0.25">
      <c r="A71" s="11"/>
      <c r="B71" s="11"/>
      <c r="C71" s="11"/>
      <c r="D71" s="11" t="s">
        <v>344</v>
      </c>
      <c r="E71" s="2" t="s">
        <v>345</v>
      </c>
      <c r="F71" s="22"/>
      <c r="G71" s="22">
        <v>244.4</v>
      </c>
      <c r="H71" s="22">
        <v>254.2</v>
      </c>
      <c r="I71" s="22">
        <v>264.39999999999998</v>
      </c>
    </row>
    <row r="72" spans="1:9" ht="39" x14ac:dyDescent="0.25">
      <c r="A72" s="52"/>
      <c r="B72" s="52"/>
      <c r="C72" s="52" t="s">
        <v>20</v>
      </c>
      <c r="D72" s="52"/>
      <c r="E72" s="53" t="s">
        <v>21</v>
      </c>
      <c r="F72" s="54" t="e">
        <f t="shared" ref="F72:I72" si="16">F73+F75</f>
        <v>#REF!</v>
      </c>
      <c r="G72" s="54">
        <f t="shared" si="16"/>
        <v>119.8</v>
      </c>
      <c r="H72" s="54">
        <f t="shared" si="16"/>
        <v>124.60000000000001</v>
      </c>
      <c r="I72" s="54">
        <f t="shared" si="16"/>
        <v>129.60000000000002</v>
      </c>
    </row>
    <row r="73" spans="1:9" ht="26.25" x14ac:dyDescent="0.25">
      <c r="A73" s="111"/>
      <c r="B73" s="111"/>
      <c r="C73" s="11" t="s">
        <v>22</v>
      </c>
      <c r="D73" s="11"/>
      <c r="E73" s="5" t="s">
        <v>590</v>
      </c>
      <c r="F73" s="22" t="e">
        <f>#REF!</f>
        <v>#REF!</v>
      </c>
      <c r="G73" s="22">
        <v>35.799999999999997</v>
      </c>
      <c r="H73" s="22">
        <v>37.200000000000003</v>
      </c>
      <c r="I73" s="22">
        <v>38.700000000000003</v>
      </c>
    </row>
    <row r="74" spans="1:9" ht="26.25" x14ac:dyDescent="0.25">
      <c r="A74" s="111"/>
      <c r="B74" s="111"/>
      <c r="C74" s="11"/>
      <c r="D74" s="11" t="s">
        <v>344</v>
      </c>
      <c r="E74" s="2" t="s">
        <v>345</v>
      </c>
      <c r="F74" s="22"/>
      <c r="G74" s="22">
        <v>35.799999999999997</v>
      </c>
      <c r="H74" s="22">
        <v>37.200000000000003</v>
      </c>
      <c r="I74" s="22">
        <v>38.700000000000003</v>
      </c>
    </row>
    <row r="75" spans="1:9" ht="51.75" x14ac:dyDescent="0.25">
      <c r="A75" s="111"/>
      <c r="B75" s="111"/>
      <c r="C75" s="11" t="s">
        <v>23</v>
      </c>
      <c r="D75" s="11"/>
      <c r="E75" s="14" t="s">
        <v>24</v>
      </c>
      <c r="F75" s="22" t="e">
        <f>#REF!</f>
        <v>#REF!</v>
      </c>
      <c r="G75" s="22">
        <v>84</v>
      </c>
      <c r="H75" s="22">
        <v>87.4</v>
      </c>
      <c r="I75" s="22">
        <v>90.9</v>
      </c>
    </row>
    <row r="76" spans="1:9" ht="26.25" x14ac:dyDescent="0.25">
      <c r="A76" s="111"/>
      <c r="B76" s="111"/>
      <c r="C76" s="11"/>
      <c r="D76" s="11" t="s">
        <v>344</v>
      </c>
      <c r="E76" s="2" t="s">
        <v>345</v>
      </c>
      <c r="F76" s="22"/>
      <c r="G76" s="22">
        <v>84</v>
      </c>
      <c r="H76" s="22">
        <v>87.4</v>
      </c>
      <c r="I76" s="22">
        <v>90.9</v>
      </c>
    </row>
    <row r="77" spans="1:9" ht="39" x14ac:dyDescent="0.25">
      <c r="A77" s="49"/>
      <c r="B77" s="49"/>
      <c r="C77" s="49" t="s">
        <v>35</v>
      </c>
      <c r="D77" s="49"/>
      <c r="E77" s="50" t="s">
        <v>36</v>
      </c>
      <c r="F77" s="51" t="e">
        <f t="shared" ref="F77:I78" si="17">F78</f>
        <v>#REF!</v>
      </c>
      <c r="G77" s="51">
        <f t="shared" si="17"/>
        <v>1085.5</v>
      </c>
      <c r="H77" s="51">
        <f t="shared" si="17"/>
        <v>1134.4000000000001</v>
      </c>
      <c r="I77" s="51">
        <f t="shared" si="17"/>
        <v>1134.4000000000001</v>
      </c>
    </row>
    <row r="78" spans="1:9" ht="26.25" x14ac:dyDescent="0.25">
      <c r="A78" s="52"/>
      <c r="B78" s="52"/>
      <c r="C78" s="52" t="s">
        <v>37</v>
      </c>
      <c r="D78" s="56"/>
      <c r="E78" s="53" t="s">
        <v>38</v>
      </c>
      <c r="F78" s="25" t="e">
        <f>#REF!+#REF!+#REF!+#REF!+#REF!+#REF!+F58+F79+F113</f>
        <v>#REF!</v>
      </c>
      <c r="G78" s="25">
        <f>G79</f>
        <v>1085.5</v>
      </c>
      <c r="H78" s="25">
        <f t="shared" si="17"/>
        <v>1134.4000000000001</v>
      </c>
      <c r="I78" s="25">
        <f t="shared" si="17"/>
        <v>1134.4000000000001</v>
      </c>
    </row>
    <row r="79" spans="1:9" x14ac:dyDescent="0.25">
      <c r="A79" s="11"/>
      <c r="B79" s="11"/>
      <c r="C79" s="11" t="s">
        <v>52</v>
      </c>
      <c r="D79" s="11"/>
      <c r="E79" s="5" t="s">
        <v>53</v>
      </c>
      <c r="F79" s="57" t="e">
        <f>#REF!+#REF!</f>
        <v>#REF!</v>
      </c>
      <c r="G79" s="57">
        <v>1085.5</v>
      </c>
      <c r="H79" s="57">
        <v>1134.4000000000001</v>
      </c>
      <c r="I79" s="57">
        <v>1134.4000000000001</v>
      </c>
    </row>
    <row r="80" spans="1:9" ht="51.75" x14ac:dyDescent="0.25">
      <c r="A80" s="11"/>
      <c r="B80" s="11"/>
      <c r="C80" s="11"/>
      <c r="D80" s="11" t="s">
        <v>535</v>
      </c>
      <c r="E80" s="2" t="s">
        <v>536</v>
      </c>
      <c r="F80" s="57"/>
      <c r="G80" s="57">
        <v>1053.2</v>
      </c>
      <c r="H80" s="57">
        <v>1053.2</v>
      </c>
      <c r="I80" s="57">
        <v>1053.2</v>
      </c>
    </row>
    <row r="81" spans="1:9" ht="26.25" x14ac:dyDescent="0.25">
      <c r="A81" s="11"/>
      <c r="B81" s="11"/>
      <c r="C81" s="11"/>
      <c r="D81" s="11" t="s">
        <v>344</v>
      </c>
      <c r="E81" s="2" t="s">
        <v>345</v>
      </c>
      <c r="F81" s="57"/>
      <c r="G81" s="57">
        <v>32.299999999999997</v>
      </c>
      <c r="H81" s="57">
        <v>81.2</v>
      </c>
      <c r="I81" s="57">
        <v>81.2</v>
      </c>
    </row>
    <row r="82" spans="1:9" ht="26.25" x14ac:dyDescent="0.25">
      <c r="A82" s="49"/>
      <c r="B82" s="49"/>
      <c r="C82" s="49" t="s">
        <v>55</v>
      </c>
      <c r="D82" s="49"/>
      <c r="E82" s="50" t="s">
        <v>56</v>
      </c>
      <c r="F82" s="51" t="e">
        <f>F83</f>
        <v>#REF!</v>
      </c>
      <c r="G82" s="51">
        <f>G83</f>
        <v>137.5</v>
      </c>
      <c r="H82" s="51">
        <f>H83</f>
        <v>143</v>
      </c>
      <c r="I82" s="51">
        <f>I83</f>
        <v>148.80000000000001</v>
      </c>
    </row>
    <row r="83" spans="1:9" ht="26.25" x14ac:dyDescent="0.25">
      <c r="A83" s="52"/>
      <c r="B83" s="52"/>
      <c r="C83" s="52" t="s">
        <v>57</v>
      </c>
      <c r="D83" s="56"/>
      <c r="E83" s="53" t="s">
        <v>58</v>
      </c>
      <c r="F83" s="25" t="e">
        <f t="shared" ref="F83:I83" si="18">F84+F86+F88</f>
        <v>#REF!</v>
      </c>
      <c r="G83" s="25">
        <f t="shared" si="18"/>
        <v>137.5</v>
      </c>
      <c r="H83" s="25">
        <f t="shared" si="18"/>
        <v>143</v>
      </c>
      <c r="I83" s="25">
        <f t="shared" si="18"/>
        <v>148.80000000000001</v>
      </c>
    </row>
    <row r="84" spans="1:9" ht="26.25" x14ac:dyDescent="0.25">
      <c r="A84" s="111"/>
      <c r="B84" s="111"/>
      <c r="C84" s="11" t="s">
        <v>59</v>
      </c>
      <c r="D84" s="11"/>
      <c r="E84" s="14" t="s">
        <v>60</v>
      </c>
      <c r="F84" s="57" t="e">
        <f>#REF!</f>
        <v>#REF!</v>
      </c>
      <c r="G84" s="57">
        <v>18.2</v>
      </c>
      <c r="H84" s="57">
        <v>18.899999999999999</v>
      </c>
      <c r="I84" s="57">
        <v>19.7</v>
      </c>
    </row>
    <row r="85" spans="1:9" ht="26.25" x14ac:dyDescent="0.25">
      <c r="A85" s="111"/>
      <c r="B85" s="111"/>
      <c r="C85" s="11"/>
      <c r="D85" s="11" t="s">
        <v>344</v>
      </c>
      <c r="E85" s="2" t="s">
        <v>345</v>
      </c>
      <c r="F85" s="57"/>
      <c r="G85" s="57">
        <v>18.2</v>
      </c>
      <c r="H85" s="57">
        <v>18.899999999999999</v>
      </c>
      <c r="I85" s="57">
        <v>19.7</v>
      </c>
    </row>
    <row r="86" spans="1:9" x14ac:dyDescent="0.25">
      <c r="A86" s="111"/>
      <c r="B86" s="111"/>
      <c r="C86" s="11" t="s">
        <v>61</v>
      </c>
      <c r="D86" s="11"/>
      <c r="E86" s="14" t="s">
        <v>62</v>
      </c>
      <c r="F86" s="57" t="e">
        <f>#REF!</f>
        <v>#REF!</v>
      </c>
      <c r="G86" s="57">
        <v>88</v>
      </c>
      <c r="H86" s="57">
        <v>91.5</v>
      </c>
      <c r="I86" s="57">
        <v>95.2</v>
      </c>
    </row>
    <row r="87" spans="1:9" ht="26.25" x14ac:dyDescent="0.25">
      <c r="A87" s="111"/>
      <c r="B87" s="111"/>
      <c r="C87" s="11"/>
      <c r="D87" s="11" t="s">
        <v>344</v>
      </c>
      <c r="E87" s="2" t="s">
        <v>345</v>
      </c>
      <c r="F87" s="57"/>
      <c r="G87" s="57">
        <v>88</v>
      </c>
      <c r="H87" s="57">
        <v>91.5</v>
      </c>
      <c r="I87" s="57">
        <v>95.2</v>
      </c>
    </row>
    <row r="88" spans="1:9" x14ac:dyDescent="0.25">
      <c r="A88" s="111"/>
      <c r="B88" s="111"/>
      <c r="C88" s="11" t="s">
        <v>63</v>
      </c>
      <c r="D88" s="11"/>
      <c r="E88" s="14" t="s">
        <v>64</v>
      </c>
      <c r="F88" s="57" t="e">
        <f>#REF!</f>
        <v>#REF!</v>
      </c>
      <c r="G88" s="57">
        <v>31.3</v>
      </c>
      <c r="H88" s="57">
        <v>32.6</v>
      </c>
      <c r="I88" s="57">
        <v>33.9</v>
      </c>
    </row>
    <row r="89" spans="1:9" ht="26.25" x14ac:dyDescent="0.25">
      <c r="A89" s="111"/>
      <c r="B89" s="111"/>
      <c r="C89" s="11"/>
      <c r="D89" s="11" t="s">
        <v>344</v>
      </c>
      <c r="E89" s="2" t="s">
        <v>345</v>
      </c>
      <c r="F89" s="57"/>
      <c r="G89" s="57">
        <v>31.3</v>
      </c>
      <c r="H89" s="57">
        <v>32.6</v>
      </c>
      <c r="I89" s="57">
        <v>33.9</v>
      </c>
    </row>
    <row r="90" spans="1:9" ht="25.5" x14ac:dyDescent="0.25">
      <c r="A90" s="129"/>
      <c r="B90" s="130"/>
      <c r="C90" s="131" t="s">
        <v>195</v>
      </c>
      <c r="D90" s="130"/>
      <c r="E90" s="132" t="s">
        <v>196</v>
      </c>
      <c r="F90" s="57" t="e">
        <f>F91+#REF!+#REF!+#REF!</f>
        <v>#REF!</v>
      </c>
      <c r="G90" s="141">
        <f>G91</f>
        <v>300</v>
      </c>
      <c r="H90" s="141">
        <f t="shared" ref="H90:I90" si="19">H91</f>
        <v>312</v>
      </c>
      <c r="I90" s="141">
        <f t="shared" si="19"/>
        <v>324.5</v>
      </c>
    </row>
    <row r="91" spans="1:9" ht="26.25" x14ac:dyDescent="0.25">
      <c r="A91" s="69"/>
      <c r="B91" s="69"/>
      <c r="C91" s="69" t="s">
        <v>197</v>
      </c>
      <c r="D91" s="69"/>
      <c r="E91" s="70" t="s">
        <v>198</v>
      </c>
      <c r="F91" s="51" t="e">
        <f t="shared" ref="F91:I92" si="20">F92</f>
        <v>#REF!</v>
      </c>
      <c r="G91" s="51">
        <f t="shared" si="20"/>
        <v>300</v>
      </c>
      <c r="H91" s="51">
        <f t="shared" si="20"/>
        <v>312</v>
      </c>
      <c r="I91" s="51">
        <f t="shared" si="20"/>
        <v>324.5</v>
      </c>
    </row>
    <row r="92" spans="1:9" ht="26.25" x14ac:dyDescent="0.25">
      <c r="A92" s="52"/>
      <c r="B92" s="52"/>
      <c r="C92" s="52" t="s">
        <v>199</v>
      </c>
      <c r="D92" s="52"/>
      <c r="E92" s="53" t="s">
        <v>200</v>
      </c>
      <c r="F92" s="25" t="e">
        <f t="shared" si="20"/>
        <v>#REF!</v>
      </c>
      <c r="G92" s="25">
        <f t="shared" si="20"/>
        <v>300</v>
      </c>
      <c r="H92" s="25">
        <f t="shared" si="20"/>
        <v>312</v>
      </c>
      <c r="I92" s="25">
        <f t="shared" si="20"/>
        <v>324.5</v>
      </c>
    </row>
    <row r="93" spans="1:9" ht="26.25" x14ac:dyDescent="0.25">
      <c r="A93" s="11"/>
      <c r="B93" s="11"/>
      <c r="C93" s="11" t="s">
        <v>201</v>
      </c>
      <c r="D93" s="11"/>
      <c r="E93" s="71" t="s">
        <v>202</v>
      </c>
      <c r="F93" s="22" t="e">
        <f>#REF!</f>
        <v>#REF!</v>
      </c>
      <c r="G93" s="22">
        <v>300</v>
      </c>
      <c r="H93" s="22">
        <v>312</v>
      </c>
      <c r="I93" s="22">
        <v>324.5</v>
      </c>
    </row>
    <row r="94" spans="1:9" ht="26.25" x14ac:dyDescent="0.25">
      <c r="A94" s="11"/>
      <c r="B94" s="11"/>
      <c r="C94" s="11"/>
      <c r="D94" s="1" t="s">
        <v>658</v>
      </c>
      <c r="E94" s="2" t="s">
        <v>659</v>
      </c>
      <c r="F94" s="22"/>
      <c r="G94" s="22">
        <v>300</v>
      </c>
      <c r="H94" s="22">
        <v>312</v>
      </c>
      <c r="I94" s="22">
        <v>324.5</v>
      </c>
    </row>
    <row r="95" spans="1:9" x14ac:dyDescent="0.25">
      <c r="A95" s="94"/>
      <c r="B95" s="94"/>
      <c r="C95" s="94" t="s">
        <v>530</v>
      </c>
      <c r="D95" s="94"/>
      <c r="E95" s="95" t="s">
        <v>531</v>
      </c>
      <c r="F95" s="96" t="e">
        <f>#REF!+F96</f>
        <v>#REF!</v>
      </c>
      <c r="G95" s="96">
        <f>G96</f>
        <v>30704.499999999996</v>
      </c>
      <c r="H95" s="96">
        <f t="shared" ref="H95:I95" si="21">H96</f>
        <v>28723.5</v>
      </c>
      <c r="I95" s="96">
        <f t="shared" si="21"/>
        <v>29091.8</v>
      </c>
    </row>
    <row r="96" spans="1:9" ht="39" x14ac:dyDescent="0.25">
      <c r="A96" s="97"/>
      <c r="B96" s="97"/>
      <c r="C96" s="97" t="s">
        <v>539</v>
      </c>
      <c r="D96" s="97"/>
      <c r="E96" s="99" t="s">
        <v>540</v>
      </c>
      <c r="F96" s="100" t="e">
        <f>#REF!+#REF!+#REF!+F97+#REF!+#REF!+#REF!+F790+F103+F105+#REF!+F5965+#REF!+F107+F110</f>
        <v>#REF!</v>
      </c>
      <c r="G96" s="100">
        <f>G97+G103+G105</f>
        <v>30704.499999999996</v>
      </c>
      <c r="H96" s="100">
        <f t="shared" ref="H96:I96" si="22">H97+H103+H105</f>
        <v>28723.5</v>
      </c>
      <c r="I96" s="100">
        <f t="shared" si="22"/>
        <v>29091.8</v>
      </c>
    </row>
    <row r="97" spans="1:9" ht="26.25" x14ac:dyDescent="0.25">
      <c r="A97" s="111"/>
      <c r="B97" s="111"/>
      <c r="C97" s="11" t="s">
        <v>552</v>
      </c>
      <c r="D97" s="11"/>
      <c r="E97" s="14" t="s">
        <v>553</v>
      </c>
      <c r="F97" s="22">
        <f>F98+F99+F100</f>
        <v>24392.9</v>
      </c>
      <c r="G97" s="22">
        <f>G98+G99+G100</f>
        <v>30264.499999999996</v>
      </c>
      <c r="H97" s="22">
        <f>H98+H99+H100</f>
        <v>28523.5</v>
      </c>
      <c r="I97" s="22">
        <f>I98+I99+I100</f>
        <v>28891.8</v>
      </c>
    </row>
    <row r="98" spans="1:9" ht="51.75" x14ac:dyDescent="0.25">
      <c r="A98" s="111"/>
      <c r="B98" s="111"/>
      <c r="C98" s="11"/>
      <c r="D98" s="11" t="s">
        <v>535</v>
      </c>
      <c r="E98" s="5" t="s">
        <v>536</v>
      </c>
      <c r="F98" s="22">
        <v>12455.7</v>
      </c>
      <c r="G98" s="22">
        <v>16275.599999999999</v>
      </c>
      <c r="H98" s="22">
        <v>14190</v>
      </c>
      <c r="I98" s="22">
        <v>14190</v>
      </c>
    </row>
    <row r="99" spans="1:9" ht="26.25" x14ac:dyDescent="0.25">
      <c r="A99" s="111"/>
      <c r="B99" s="111"/>
      <c r="C99" s="11"/>
      <c r="D99" s="11" t="s">
        <v>344</v>
      </c>
      <c r="E99" s="5" t="s">
        <v>345</v>
      </c>
      <c r="F99" s="22">
        <f>13496.8-1313.9-258.8-497.7-4.3</f>
        <v>11422.1</v>
      </c>
      <c r="G99" s="22">
        <v>13529.199999999999</v>
      </c>
      <c r="H99" s="22">
        <v>13882.4</v>
      </c>
      <c r="I99" s="22">
        <v>14250.7</v>
      </c>
    </row>
    <row r="100" spans="1:9" x14ac:dyDescent="0.25">
      <c r="A100" s="111"/>
      <c r="B100" s="111"/>
      <c r="C100" s="11"/>
      <c r="D100" s="11" t="s">
        <v>543</v>
      </c>
      <c r="E100" s="5" t="s">
        <v>544</v>
      </c>
      <c r="F100" s="22">
        <v>515.1</v>
      </c>
      <c r="G100" s="22">
        <f>451.1+8.6</f>
        <v>459.70000000000005</v>
      </c>
      <c r="H100" s="22">
        <v>451.1</v>
      </c>
      <c r="I100" s="22">
        <v>451.1</v>
      </c>
    </row>
    <row r="101" spans="1:9" x14ac:dyDescent="0.25">
      <c r="A101" s="111"/>
      <c r="B101" s="111"/>
      <c r="C101" s="26" t="s">
        <v>554</v>
      </c>
      <c r="D101" s="26"/>
      <c r="E101" s="3" t="s">
        <v>555</v>
      </c>
      <c r="F101" s="22"/>
      <c r="G101" s="22">
        <v>0</v>
      </c>
      <c r="H101" s="22">
        <v>0</v>
      </c>
      <c r="I101" s="22">
        <v>0</v>
      </c>
    </row>
    <row r="102" spans="1:9" ht="25.5" x14ac:dyDescent="0.25">
      <c r="A102" s="111"/>
      <c r="B102" s="111"/>
      <c r="C102" s="26"/>
      <c r="D102" s="26" t="s">
        <v>344</v>
      </c>
      <c r="E102" s="3" t="s">
        <v>345</v>
      </c>
      <c r="F102" s="22"/>
      <c r="G102" s="22">
        <f>1141.9-1141.9</f>
        <v>0</v>
      </c>
      <c r="H102" s="22">
        <f>1193.9-1193.9</f>
        <v>0</v>
      </c>
      <c r="I102" s="22">
        <f>1243.6-1243.6</f>
        <v>0</v>
      </c>
    </row>
    <row r="103" spans="1:9" ht="26.25" x14ac:dyDescent="0.25">
      <c r="A103" s="111"/>
      <c r="B103" s="111"/>
      <c r="C103" s="11" t="s">
        <v>566</v>
      </c>
      <c r="D103" s="11"/>
      <c r="E103" s="5" t="s">
        <v>567</v>
      </c>
      <c r="F103" s="22">
        <f>F104</f>
        <v>0</v>
      </c>
      <c r="G103" s="22">
        <f>G104</f>
        <v>200</v>
      </c>
      <c r="H103" s="22">
        <f>H104</f>
        <v>200</v>
      </c>
      <c r="I103" s="22">
        <f>I104</f>
        <v>200</v>
      </c>
    </row>
    <row r="104" spans="1:9" ht="26.25" x14ac:dyDescent="0.25">
      <c r="A104" s="111"/>
      <c r="B104" s="111"/>
      <c r="C104" s="11"/>
      <c r="D104" s="11" t="s">
        <v>344</v>
      </c>
      <c r="E104" s="5" t="s">
        <v>345</v>
      </c>
      <c r="F104" s="22">
        <v>0</v>
      </c>
      <c r="G104" s="22">
        <v>200</v>
      </c>
      <c r="H104" s="22">
        <v>200</v>
      </c>
      <c r="I104" s="22">
        <v>200</v>
      </c>
    </row>
    <row r="105" spans="1:9" x14ac:dyDescent="0.25">
      <c r="A105" s="111"/>
      <c r="B105" s="111"/>
      <c r="C105" s="11" t="s">
        <v>568</v>
      </c>
      <c r="D105" s="11"/>
      <c r="E105" s="5" t="s">
        <v>569</v>
      </c>
      <c r="F105" s="22">
        <f>F106</f>
        <v>0</v>
      </c>
      <c r="G105" s="22">
        <f>G106</f>
        <v>240</v>
      </c>
      <c r="H105" s="22">
        <f>H106</f>
        <v>0</v>
      </c>
      <c r="I105" s="22">
        <f>I106</f>
        <v>0</v>
      </c>
    </row>
    <row r="106" spans="1:9" x14ac:dyDescent="0.25">
      <c r="A106" s="111"/>
      <c r="B106" s="111"/>
      <c r="C106" s="11"/>
      <c r="D106" s="11" t="s">
        <v>543</v>
      </c>
      <c r="E106" s="5" t="s">
        <v>544</v>
      </c>
      <c r="F106" s="22">
        <v>0</v>
      </c>
      <c r="G106" s="22">
        <v>240</v>
      </c>
      <c r="H106" s="22">
        <v>0</v>
      </c>
      <c r="I106" s="22">
        <v>0</v>
      </c>
    </row>
    <row r="107" spans="1:9" x14ac:dyDescent="0.25">
      <c r="A107" s="115"/>
      <c r="B107" s="27" t="s">
        <v>680</v>
      </c>
      <c r="C107" s="116"/>
      <c r="D107" s="27"/>
      <c r="E107" s="117" t="s">
        <v>681</v>
      </c>
      <c r="F107" s="57"/>
      <c r="G107" s="124">
        <f t="shared" ref="G107:G112" si="23">G108</f>
        <v>1051.7</v>
      </c>
      <c r="H107" s="124">
        <f t="shared" ref="H107:I112" si="24">H108</f>
        <v>1095.8</v>
      </c>
      <c r="I107" s="124">
        <f t="shared" si="24"/>
        <v>1133.8</v>
      </c>
    </row>
    <row r="108" spans="1:9" x14ac:dyDescent="0.25">
      <c r="A108" s="115"/>
      <c r="B108" s="27" t="s">
        <v>682</v>
      </c>
      <c r="C108" s="116"/>
      <c r="D108" s="27"/>
      <c r="E108" s="117" t="s">
        <v>683</v>
      </c>
      <c r="F108" s="57"/>
      <c r="G108" s="124">
        <f t="shared" si="23"/>
        <v>1051.7</v>
      </c>
      <c r="H108" s="124">
        <f t="shared" si="24"/>
        <v>1095.8</v>
      </c>
      <c r="I108" s="124">
        <f t="shared" si="24"/>
        <v>1133.8</v>
      </c>
    </row>
    <row r="109" spans="1:9" ht="26.25" x14ac:dyDescent="0.25">
      <c r="A109" s="115"/>
      <c r="B109" s="27"/>
      <c r="C109" s="127" t="s">
        <v>6</v>
      </c>
      <c r="D109" s="127"/>
      <c r="E109" s="118" t="s">
        <v>7</v>
      </c>
      <c r="F109" s="57"/>
      <c r="G109" s="124">
        <f t="shared" si="23"/>
        <v>1051.7</v>
      </c>
      <c r="H109" s="124">
        <f t="shared" si="24"/>
        <v>1095.8</v>
      </c>
      <c r="I109" s="124">
        <f t="shared" si="24"/>
        <v>1133.8</v>
      </c>
    </row>
    <row r="110" spans="1:9" ht="25.5" x14ac:dyDescent="0.25">
      <c r="A110" s="129"/>
      <c r="B110" s="130"/>
      <c r="C110" s="131" t="s">
        <v>8</v>
      </c>
      <c r="D110" s="130"/>
      <c r="E110" s="132" t="s">
        <v>9</v>
      </c>
      <c r="F110" s="57"/>
      <c r="G110" s="147">
        <f t="shared" si="23"/>
        <v>1051.7</v>
      </c>
      <c r="H110" s="147">
        <f t="shared" si="24"/>
        <v>1095.8</v>
      </c>
      <c r="I110" s="147">
        <f t="shared" si="24"/>
        <v>1133.8</v>
      </c>
    </row>
    <row r="111" spans="1:9" ht="38.25" x14ac:dyDescent="0.25">
      <c r="A111" s="133"/>
      <c r="B111" s="134"/>
      <c r="C111" s="135" t="s">
        <v>35</v>
      </c>
      <c r="D111" s="134"/>
      <c r="E111" s="136" t="s">
        <v>684</v>
      </c>
      <c r="F111" s="57"/>
      <c r="G111" s="148">
        <f t="shared" si="23"/>
        <v>1051.7</v>
      </c>
      <c r="H111" s="148">
        <f t="shared" si="24"/>
        <v>1095.8</v>
      </c>
      <c r="I111" s="148">
        <f t="shared" si="24"/>
        <v>1133.8</v>
      </c>
    </row>
    <row r="112" spans="1:9" ht="25.5" x14ac:dyDescent="0.25">
      <c r="A112" s="137"/>
      <c r="B112" s="138"/>
      <c r="C112" s="139" t="s">
        <v>37</v>
      </c>
      <c r="D112" s="138"/>
      <c r="E112" s="140" t="s">
        <v>685</v>
      </c>
      <c r="F112" s="57"/>
      <c r="G112" s="149">
        <f t="shared" si="23"/>
        <v>1051.7</v>
      </c>
      <c r="H112" s="149">
        <f t="shared" si="24"/>
        <v>1095.8</v>
      </c>
      <c r="I112" s="149">
        <f t="shared" si="24"/>
        <v>1133.8</v>
      </c>
    </row>
    <row r="113" spans="1:9" ht="26.25" x14ac:dyDescent="0.25">
      <c r="A113" s="11"/>
      <c r="B113" s="11"/>
      <c r="C113" s="11" t="s">
        <v>54</v>
      </c>
      <c r="D113" s="11"/>
      <c r="E113" s="5" t="s">
        <v>1383</v>
      </c>
      <c r="F113" s="57" t="e">
        <f>SUM(#REF!)</f>
        <v>#REF!</v>
      </c>
      <c r="G113" s="57">
        <f>868.4+183.3</f>
        <v>1051.7</v>
      </c>
      <c r="H113" s="57">
        <f>897.5+198.3</f>
        <v>1095.8</v>
      </c>
      <c r="I113" s="57">
        <f>897.5+236.3</f>
        <v>1133.8</v>
      </c>
    </row>
    <row r="114" spans="1:9" ht="51.75" x14ac:dyDescent="0.25">
      <c r="A114" s="11"/>
      <c r="B114" s="11"/>
      <c r="C114" s="11"/>
      <c r="D114" s="11" t="s">
        <v>535</v>
      </c>
      <c r="E114" s="2" t="s">
        <v>536</v>
      </c>
      <c r="F114" s="57"/>
      <c r="G114" s="57">
        <v>1043</v>
      </c>
      <c r="H114" s="57">
        <v>1043</v>
      </c>
      <c r="I114" s="57">
        <v>1043</v>
      </c>
    </row>
    <row r="115" spans="1:9" ht="26.25" x14ac:dyDescent="0.25">
      <c r="A115" s="11"/>
      <c r="B115" s="11"/>
      <c r="C115" s="11"/>
      <c r="D115" s="11" t="s">
        <v>344</v>
      </c>
      <c r="E115" s="5" t="s">
        <v>345</v>
      </c>
      <c r="F115" s="57"/>
      <c r="G115" s="57">
        <v>8.6999999999999993</v>
      </c>
      <c r="H115" s="57">
        <v>52.8</v>
      </c>
      <c r="I115" s="57">
        <v>90.8</v>
      </c>
    </row>
    <row r="116" spans="1:9" x14ac:dyDescent="0.25">
      <c r="A116" s="115"/>
      <c r="B116" s="27" t="s">
        <v>686</v>
      </c>
      <c r="C116" s="116"/>
      <c r="D116" s="115"/>
      <c r="E116" s="117" t="s">
        <v>687</v>
      </c>
      <c r="F116" s="57"/>
      <c r="G116" s="124">
        <f>G117+G128+G140</f>
        <v>21563.1</v>
      </c>
      <c r="H116" s="124">
        <f>H117+H128+H140</f>
        <v>21038.1</v>
      </c>
      <c r="I116" s="124">
        <f>I117+I128+I140</f>
        <v>21136.899999999998</v>
      </c>
    </row>
    <row r="117" spans="1:9" ht="25.5" x14ac:dyDescent="0.25">
      <c r="A117" s="115"/>
      <c r="B117" s="27" t="s">
        <v>688</v>
      </c>
      <c r="C117" s="116"/>
      <c r="D117" s="27"/>
      <c r="E117" s="122" t="s">
        <v>689</v>
      </c>
      <c r="F117" s="57"/>
      <c r="G117" s="124">
        <f>G118</f>
        <v>16118.199999999999</v>
      </c>
      <c r="H117" s="124">
        <f t="shared" ref="H117:I119" si="25">H118</f>
        <v>16129.699999999999</v>
      </c>
      <c r="I117" s="124">
        <f t="shared" si="25"/>
        <v>16141.8</v>
      </c>
    </row>
    <row r="118" spans="1:9" ht="25.5" x14ac:dyDescent="0.25">
      <c r="A118" s="115"/>
      <c r="B118" s="27"/>
      <c r="C118" s="116" t="s">
        <v>6</v>
      </c>
      <c r="D118" s="115"/>
      <c r="E118" s="122" t="s">
        <v>7</v>
      </c>
      <c r="F118" s="57"/>
      <c r="G118" s="124">
        <f>G119</f>
        <v>16118.199999999999</v>
      </c>
      <c r="H118" s="124">
        <f t="shared" si="25"/>
        <v>16129.699999999999</v>
      </c>
      <c r="I118" s="124">
        <f t="shared" si="25"/>
        <v>16141.8</v>
      </c>
    </row>
    <row r="119" spans="1:9" ht="51" x14ac:dyDescent="0.25">
      <c r="A119" s="129"/>
      <c r="B119" s="130"/>
      <c r="C119" s="131" t="s">
        <v>476</v>
      </c>
      <c r="D119" s="130"/>
      <c r="E119" s="132" t="s">
        <v>690</v>
      </c>
      <c r="F119" s="57"/>
      <c r="G119" s="147">
        <f>G120</f>
        <v>16118.199999999999</v>
      </c>
      <c r="H119" s="147">
        <f t="shared" si="25"/>
        <v>16129.699999999999</v>
      </c>
      <c r="I119" s="147">
        <f t="shared" si="25"/>
        <v>16141.8</v>
      </c>
    </row>
    <row r="120" spans="1:9" ht="39" x14ac:dyDescent="0.25">
      <c r="A120" s="52"/>
      <c r="B120" s="52"/>
      <c r="C120" s="52" t="s">
        <v>478</v>
      </c>
      <c r="D120" s="52"/>
      <c r="E120" s="33" t="s">
        <v>479</v>
      </c>
      <c r="F120" s="25" t="e">
        <f>F121+F123+F125</f>
        <v>#REF!</v>
      </c>
      <c r="G120" s="25">
        <f>G121+G123+G125</f>
        <v>16118.199999999999</v>
      </c>
      <c r="H120" s="25">
        <f>H121+H123+H125</f>
        <v>16129.699999999999</v>
      </c>
      <c r="I120" s="25">
        <f>I121+I123+I125</f>
        <v>16141.8</v>
      </c>
    </row>
    <row r="121" spans="1:9" x14ac:dyDescent="0.25">
      <c r="A121" s="11"/>
      <c r="B121" s="11"/>
      <c r="C121" s="11" t="s">
        <v>480</v>
      </c>
      <c r="D121" s="11"/>
      <c r="E121" s="3" t="s">
        <v>481</v>
      </c>
      <c r="F121" s="22" t="e">
        <f>#REF!</f>
        <v>#REF!</v>
      </c>
      <c r="G121" s="22">
        <v>23.9</v>
      </c>
      <c r="H121" s="22">
        <v>24.8</v>
      </c>
      <c r="I121" s="22">
        <v>25.8</v>
      </c>
    </row>
    <row r="122" spans="1:9" ht="26.25" x14ac:dyDescent="0.25">
      <c r="A122" s="11"/>
      <c r="B122" s="11"/>
      <c r="C122" s="11"/>
      <c r="D122" s="1" t="s">
        <v>344</v>
      </c>
      <c r="E122" s="2" t="s">
        <v>345</v>
      </c>
      <c r="F122" s="22"/>
      <c r="G122" s="22">
        <v>23.9</v>
      </c>
      <c r="H122" s="22">
        <v>24.8</v>
      </c>
      <c r="I122" s="22">
        <v>25.8</v>
      </c>
    </row>
    <row r="123" spans="1:9" ht="51.75" x14ac:dyDescent="0.25">
      <c r="A123" s="11"/>
      <c r="B123" s="11"/>
      <c r="C123" s="11" t="s">
        <v>482</v>
      </c>
      <c r="D123" s="11"/>
      <c r="E123" s="14" t="s">
        <v>483</v>
      </c>
      <c r="F123" s="22" t="e">
        <f>#REF!</f>
        <v>#REF!</v>
      </c>
      <c r="G123" s="22">
        <v>118.1</v>
      </c>
      <c r="H123" s="22">
        <v>122.8</v>
      </c>
      <c r="I123" s="22">
        <v>127.7</v>
      </c>
    </row>
    <row r="124" spans="1:9" ht="26.25" x14ac:dyDescent="0.25">
      <c r="A124" s="11"/>
      <c r="B124" s="11"/>
      <c r="C124" s="11"/>
      <c r="D124" s="1" t="s">
        <v>344</v>
      </c>
      <c r="E124" s="2" t="s">
        <v>345</v>
      </c>
      <c r="F124" s="22"/>
      <c r="G124" s="22">
        <v>118.1</v>
      </c>
      <c r="H124" s="22">
        <v>122.8</v>
      </c>
      <c r="I124" s="22">
        <v>127.7</v>
      </c>
    </row>
    <row r="125" spans="1:9" ht="26.25" x14ac:dyDescent="0.25">
      <c r="A125" s="11"/>
      <c r="B125" s="11"/>
      <c r="C125" s="11" t="s">
        <v>484</v>
      </c>
      <c r="D125" s="11"/>
      <c r="E125" s="91" t="s">
        <v>1393</v>
      </c>
      <c r="F125" s="22" t="e">
        <f>SUM(#REF!+#REF!)</f>
        <v>#REF!</v>
      </c>
      <c r="G125" s="22">
        <f>G126+G127</f>
        <v>15976.199999999999</v>
      </c>
      <c r="H125" s="22">
        <f t="shared" ref="H125:I125" si="26">H126+H127</f>
        <v>15982.099999999999</v>
      </c>
      <c r="I125" s="22">
        <f t="shared" si="26"/>
        <v>15988.3</v>
      </c>
    </row>
    <row r="126" spans="1:9" ht="51.75" x14ac:dyDescent="0.25">
      <c r="A126" s="11"/>
      <c r="B126" s="11"/>
      <c r="C126" s="11"/>
      <c r="D126" s="11" t="s">
        <v>535</v>
      </c>
      <c r="E126" s="2" t="s">
        <v>536</v>
      </c>
      <c r="F126" s="57"/>
      <c r="G126" s="57">
        <v>14606.199999999999</v>
      </c>
      <c r="H126" s="57">
        <v>14606.199999999999</v>
      </c>
      <c r="I126" s="57">
        <v>14606.199999999999</v>
      </c>
    </row>
    <row r="127" spans="1:9" ht="26.25" x14ac:dyDescent="0.25">
      <c r="A127" s="11"/>
      <c r="B127" s="11"/>
      <c r="C127" s="11"/>
      <c r="D127" s="1" t="s">
        <v>344</v>
      </c>
      <c r="E127" s="2" t="s">
        <v>345</v>
      </c>
      <c r="F127" s="22"/>
      <c r="G127" s="22">
        <v>1370</v>
      </c>
      <c r="H127" s="22">
        <v>1375.9</v>
      </c>
      <c r="I127" s="22">
        <v>1382.1</v>
      </c>
    </row>
    <row r="128" spans="1:9" x14ac:dyDescent="0.25">
      <c r="A128" s="11"/>
      <c r="B128" s="27" t="s">
        <v>691</v>
      </c>
      <c r="C128" s="116"/>
      <c r="D128" s="27"/>
      <c r="E128" s="117" t="s">
        <v>692</v>
      </c>
      <c r="F128" s="22"/>
      <c r="G128" s="45">
        <f>G129</f>
        <v>4414.3999999999996</v>
      </c>
      <c r="H128" s="45">
        <f t="shared" ref="H128:I130" si="27">H129</f>
        <v>3980.8</v>
      </c>
      <c r="I128" s="45">
        <f t="shared" si="27"/>
        <v>4041.8999999999996</v>
      </c>
    </row>
    <row r="129" spans="1:9" x14ac:dyDescent="0.25">
      <c r="A129" s="11"/>
      <c r="B129" s="26"/>
      <c r="C129" s="116" t="s">
        <v>6</v>
      </c>
      <c r="D129" s="115"/>
      <c r="E129" s="122" t="s">
        <v>693</v>
      </c>
      <c r="F129" s="22"/>
      <c r="G129" s="45">
        <f>G130</f>
        <v>4414.3999999999996</v>
      </c>
      <c r="H129" s="45">
        <f t="shared" si="27"/>
        <v>3980.8</v>
      </c>
      <c r="I129" s="45">
        <f t="shared" si="27"/>
        <v>4041.8999999999996</v>
      </c>
    </row>
    <row r="130" spans="1:9" ht="51" x14ac:dyDescent="0.25">
      <c r="A130" s="130"/>
      <c r="B130" s="130"/>
      <c r="C130" s="131" t="s">
        <v>476</v>
      </c>
      <c r="D130" s="130"/>
      <c r="E130" s="132" t="s">
        <v>477</v>
      </c>
      <c r="F130" s="22"/>
      <c r="G130" s="147">
        <f>G131</f>
        <v>4414.3999999999996</v>
      </c>
      <c r="H130" s="147">
        <f t="shared" si="27"/>
        <v>3980.8</v>
      </c>
      <c r="I130" s="147">
        <f t="shared" si="27"/>
        <v>4041.8999999999996</v>
      </c>
    </row>
    <row r="131" spans="1:9" ht="26.25" x14ac:dyDescent="0.25">
      <c r="A131" s="52"/>
      <c r="B131" s="52"/>
      <c r="C131" s="52" t="s">
        <v>485</v>
      </c>
      <c r="D131" s="52"/>
      <c r="E131" s="33" t="s">
        <v>486</v>
      </c>
      <c r="F131" s="25" t="e">
        <f>F132+F134+#REF!+F138+F136+#REF!</f>
        <v>#REF!</v>
      </c>
      <c r="G131" s="25">
        <f>G132+G134+G138+G136</f>
        <v>4414.3999999999996</v>
      </c>
      <c r="H131" s="25">
        <f t="shared" ref="H131:I131" si="28">H132+H134+H138+H136</f>
        <v>3980.8</v>
      </c>
      <c r="I131" s="25">
        <f t="shared" si="28"/>
        <v>4041.8999999999996</v>
      </c>
    </row>
    <row r="132" spans="1:9" ht="26.25" x14ac:dyDescent="0.25">
      <c r="A132" s="11"/>
      <c r="B132" s="11"/>
      <c r="C132" s="11" t="s">
        <v>487</v>
      </c>
      <c r="D132" s="11"/>
      <c r="E132" s="84" t="s">
        <v>488</v>
      </c>
      <c r="F132" s="22" t="e">
        <f>#REF!</f>
        <v>#REF!</v>
      </c>
      <c r="G132" s="22">
        <f>G133</f>
        <v>732.6</v>
      </c>
      <c r="H132" s="22">
        <f>H133</f>
        <v>1410.6000000000001</v>
      </c>
      <c r="I132" s="22">
        <f>I133</f>
        <v>1419</v>
      </c>
    </row>
    <row r="133" spans="1:9" ht="26.25" x14ac:dyDescent="0.25">
      <c r="A133" s="11"/>
      <c r="B133" s="11"/>
      <c r="C133" s="11"/>
      <c r="D133" s="1" t="s">
        <v>344</v>
      </c>
      <c r="E133" s="2" t="s">
        <v>345</v>
      </c>
      <c r="F133" s="22"/>
      <c r="G133" s="22">
        <v>732.6</v>
      </c>
      <c r="H133" s="22">
        <v>1410.6000000000001</v>
      </c>
      <c r="I133" s="22">
        <v>1419</v>
      </c>
    </row>
    <row r="134" spans="1:9" ht="26.25" x14ac:dyDescent="0.25">
      <c r="A134" s="11"/>
      <c r="B134" s="11"/>
      <c r="C134" s="11" t="s">
        <v>489</v>
      </c>
      <c r="D134" s="11"/>
      <c r="E134" s="14" t="s">
        <v>490</v>
      </c>
      <c r="F134" s="22" t="e">
        <f>#REF!</f>
        <v>#REF!</v>
      </c>
      <c r="G134" s="22">
        <v>1438.4</v>
      </c>
      <c r="H134" s="22">
        <v>1355.9</v>
      </c>
      <c r="I134" s="22">
        <v>1360.1</v>
      </c>
    </row>
    <row r="135" spans="1:9" ht="26.25" x14ac:dyDescent="0.25">
      <c r="A135" s="11"/>
      <c r="B135" s="11"/>
      <c r="C135" s="11"/>
      <c r="D135" s="1" t="s">
        <v>344</v>
      </c>
      <c r="E135" s="2" t="s">
        <v>345</v>
      </c>
      <c r="F135" s="72"/>
      <c r="G135" s="22">
        <v>1438.4</v>
      </c>
      <c r="H135" s="22">
        <v>1355.9</v>
      </c>
      <c r="I135" s="22">
        <v>1360.1</v>
      </c>
    </row>
    <row r="136" spans="1:9" ht="26.25" x14ac:dyDescent="0.25">
      <c r="A136" s="11"/>
      <c r="B136" s="11"/>
      <c r="C136" s="11" t="s">
        <v>493</v>
      </c>
      <c r="D136" s="11"/>
      <c r="E136" s="5" t="s">
        <v>494</v>
      </c>
      <c r="F136" s="22" t="e">
        <f>#REF!</f>
        <v>#REF!</v>
      </c>
      <c r="G136" s="22">
        <v>1613.7</v>
      </c>
      <c r="H136" s="22">
        <v>559.4</v>
      </c>
      <c r="I136" s="22">
        <v>581.79999999999995</v>
      </c>
    </row>
    <row r="137" spans="1:9" ht="26.25" x14ac:dyDescent="0.25">
      <c r="A137" s="11"/>
      <c r="B137" s="11"/>
      <c r="C137" s="11"/>
      <c r="D137" s="1" t="s">
        <v>344</v>
      </c>
      <c r="E137" s="2" t="s">
        <v>345</v>
      </c>
      <c r="F137" s="22"/>
      <c r="G137" s="22">
        <v>1613.7</v>
      </c>
      <c r="H137" s="22">
        <v>559.4</v>
      </c>
      <c r="I137" s="22">
        <v>581.79999999999995</v>
      </c>
    </row>
    <row r="138" spans="1:9" ht="26.25" x14ac:dyDescent="0.25">
      <c r="A138" s="11"/>
      <c r="B138" s="11"/>
      <c r="C138" s="11" t="s">
        <v>495</v>
      </c>
      <c r="D138" s="11"/>
      <c r="E138" s="108" t="s">
        <v>655</v>
      </c>
      <c r="F138" s="22" t="e">
        <f>#REF!+#REF!</f>
        <v>#REF!</v>
      </c>
      <c r="G138" s="22">
        <v>629.70000000000005</v>
      </c>
      <c r="H138" s="22">
        <v>654.9</v>
      </c>
      <c r="I138" s="22">
        <v>681</v>
      </c>
    </row>
    <row r="139" spans="1:9" ht="26.25" x14ac:dyDescent="0.25">
      <c r="A139" s="11"/>
      <c r="B139" s="11"/>
      <c r="C139" s="11"/>
      <c r="D139" s="1" t="s">
        <v>344</v>
      </c>
      <c r="E139" s="2" t="s">
        <v>345</v>
      </c>
      <c r="F139" s="22"/>
      <c r="G139" s="22">
        <v>629.70000000000005</v>
      </c>
      <c r="H139" s="22">
        <v>654.9</v>
      </c>
      <c r="I139" s="22">
        <v>681</v>
      </c>
    </row>
    <row r="140" spans="1:9" ht="25.5" x14ac:dyDescent="0.25">
      <c r="A140" s="11"/>
      <c r="B140" s="27" t="s">
        <v>694</v>
      </c>
      <c r="C140" s="116"/>
      <c r="D140" s="27"/>
      <c r="E140" s="122" t="s">
        <v>695</v>
      </c>
      <c r="F140" s="22"/>
      <c r="G140" s="45">
        <f>G141</f>
        <v>1030.5</v>
      </c>
      <c r="H140" s="45">
        <f t="shared" ref="H140:I140" si="29">H141</f>
        <v>927.59999999999991</v>
      </c>
      <c r="I140" s="45">
        <f t="shared" si="29"/>
        <v>953.2</v>
      </c>
    </row>
    <row r="141" spans="1:9" ht="25.5" x14ac:dyDescent="0.25">
      <c r="A141" s="11"/>
      <c r="B141" s="27"/>
      <c r="C141" s="116" t="s">
        <v>6</v>
      </c>
      <c r="D141" s="115"/>
      <c r="E141" s="122" t="s">
        <v>7</v>
      </c>
      <c r="F141" s="22"/>
      <c r="G141" s="45">
        <f>G142+G160</f>
        <v>1030.5</v>
      </c>
      <c r="H141" s="45">
        <f>H142+H160</f>
        <v>927.59999999999991</v>
      </c>
      <c r="I141" s="45">
        <f>I142+I160</f>
        <v>953.2</v>
      </c>
    </row>
    <row r="142" spans="1:9" ht="37.5" customHeight="1" x14ac:dyDescent="0.25">
      <c r="A142" s="130"/>
      <c r="B142" s="130"/>
      <c r="C142" s="131" t="s">
        <v>326</v>
      </c>
      <c r="D142" s="130"/>
      <c r="E142" s="132" t="s">
        <v>327</v>
      </c>
      <c r="F142" s="22" t="e">
        <f>F143+F149</f>
        <v>#REF!</v>
      </c>
      <c r="G142" s="147">
        <f>G143+G149</f>
        <v>903.2</v>
      </c>
      <c r="H142" s="147">
        <f>H143+H149</f>
        <v>927.59999999999991</v>
      </c>
      <c r="I142" s="147">
        <f>I143+I149</f>
        <v>953.2</v>
      </c>
    </row>
    <row r="143" spans="1:9" ht="26.25" x14ac:dyDescent="0.25">
      <c r="A143" s="49"/>
      <c r="B143" s="49"/>
      <c r="C143" s="49" t="s">
        <v>328</v>
      </c>
      <c r="D143" s="49"/>
      <c r="E143" s="50" t="s">
        <v>329</v>
      </c>
      <c r="F143" s="51" t="e">
        <f>F144</f>
        <v>#REF!</v>
      </c>
      <c r="G143" s="51">
        <f>G144</f>
        <v>562</v>
      </c>
      <c r="H143" s="51">
        <f>H144</f>
        <v>584.5</v>
      </c>
      <c r="I143" s="51">
        <f>I144</f>
        <v>607.9</v>
      </c>
    </row>
    <row r="144" spans="1:9" ht="39" x14ac:dyDescent="0.25">
      <c r="A144" s="52"/>
      <c r="B144" s="52"/>
      <c r="C144" s="52" t="s">
        <v>330</v>
      </c>
      <c r="D144" s="56"/>
      <c r="E144" s="53" t="s">
        <v>331</v>
      </c>
      <c r="F144" s="25" t="e">
        <f>#REF!+F145+F147</f>
        <v>#REF!</v>
      </c>
      <c r="G144" s="25">
        <f>G145+G147</f>
        <v>562</v>
      </c>
      <c r="H144" s="25">
        <f t="shared" ref="H144:I144" si="30">H145+H147</f>
        <v>584.5</v>
      </c>
      <c r="I144" s="25">
        <f t="shared" si="30"/>
        <v>607.9</v>
      </c>
    </row>
    <row r="145" spans="1:9" ht="39" x14ac:dyDescent="0.25">
      <c r="A145" s="11"/>
      <c r="B145" s="11"/>
      <c r="C145" s="11" t="s">
        <v>334</v>
      </c>
      <c r="D145" s="11"/>
      <c r="E145" s="5" t="s">
        <v>335</v>
      </c>
      <c r="F145" s="22" t="e">
        <f>#REF!</f>
        <v>#REF!</v>
      </c>
      <c r="G145" s="22">
        <v>10</v>
      </c>
      <c r="H145" s="22">
        <v>10.4</v>
      </c>
      <c r="I145" s="22">
        <v>10.8</v>
      </c>
    </row>
    <row r="146" spans="1:9" ht="26.25" x14ac:dyDescent="0.25">
      <c r="A146" s="11"/>
      <c r="B146" s="11"/>
      <c r="C146" s="11"/>
      <c r="D146" s="11" t="s">
        <v>344</v>
      </c>
      <c r="E146" s="5" t="s">
        <v>345</v>
      </c>
      <c r="F146" s="22"/>
      <c r="G146" s="22">
        <v>10</v>
      </c>
      <c r="H146" s="22">
        <v>10.4</v>
      </c>
      <c r="I146" s="22">
        <v>10.8</v>
      </c>
    </row>
    <row r="147" spans="1:9" ht="51.75" x14ac:dyDescent="0.25">
      <c r="A147" s="11"/>
      <c r="B147" s="11"/>
      <c r="C147" s="11" t="s">
        <v>336</v>
      </c>
      <c r="D147" s="11"/>
      <c r="E147" s="5" t="s">
        <v>337</v>
      </c>
      <c r="F147" s="22" t="e">
        <f>#REF!</f>
        <v>#REF!</v>
      </c>
      <c r="G147" s="22">
        <v>552</v>
      </c>
      <c r="H147" s="22">
        <v>574.1</v>
      </c>
      <c r="I147" s="22">
        <v>597.1</v>
      </c>
    </row>
    <row r="148" spans="1:9" ht="26.25" x14ac:dyDescent="0.25">
      <c r="A148" s="11"/>
      <c r="B148" s="11"/>
      <c r="C148" s="11"/>
      <c r="D148" s="11" t="s">
        <v>344</v>
      </c>
      <c r="E148" s="5" t="s">
        <v>345</v>
      </c>
      <c r="F148" s="22"/>
      <c r="G148" s="22">
        <v>552</v>
      </c>
      <c r="H148" s="22">
        <v>574.1</v>
      </c>
      <c r="I148" s="22">
        <v>597.1</v>
      </c>
    </row>
    <row r="149" spans="1:9" ht="26.25" x14ac:dyDescent="0.25">
      <c r="A149" s="49"/>
      <c r="B149" s="49"/>
      <c r="C149" s="49" t="s">
        <v>340</v>
      </c>
      <c r="D149" s="49"/>
      <c r="E149" s="50" t="s">
        <v>341</v>
      </c>
      <c r="F149" s="51" t="e">
        <f t="shared" ref="F149:I149" si="31">F150</f>
        <v>#REF!</v>
      </c>
      <c r="G149" s="51">
        <f t="shared" si="31"/>
        <v>341.2</v>
      </c>
      <c r="H149" s="51">
        <f t="shared" si="31"/>
        <v>343.09999999999997</v>
      </c>
      <c r="I149" s="51">
        <f t="shared" si="31"/>
        <v>345.3</v>
      </c>
    </row>
    <row r="150" spans="1:9" ht="26.25" x14ac:dyDescent="0.25">
      <c r="A150" s="52"/>
      <c r="B150" s="52"/>
      <c r="C150" s="52" t="s">
        <v>616</v>
      </c>
      <c r="D150" s="56"/>
      <c r="E150" s="53" t="s">
        <v>342</v>
      </c>
      <c r="F150" s="25" t="e">
        <f>F151+#REF!+F158+F155</f>
        <v>#REF!</v>
      </c>
      <c r="G150" s="25">
        <f>G151+G158+G155</f>
        <v>341.2</v>
      </c>
      <c r="H150" s="25">
        <f>H151+H158+H155</f>
        <v>343.09999999999997</v>
      </c>
      <c r="I150" s="25">
        <f>I151+I158+I155</f>
        <v>345.3</v>
      </c>
    </row>
    <row r="151" spans="1:9" ht="39" x14ac:dyDescent="0.25">
      <c r="A151" s="111"/>
      <c r="B151" s="111"/>
      <c r="C151" s="11" t="s">
        <v>615</v>
      </c>
      <c r="D151" s="11"/>
      <c r="E151" s="71" t="s">
        <v>343</v>
      </c>
      <c r="F151" s="22" t="e">
        <f>F152+#REF!</f>
        <v>#REF!</v>
      </c>
      <c r="G151" s="22">
        <f>G154+G153</f>
        <v>290</v>
      </c>
      <c r="H151" s="22">
        <f t="shared" ref="H151:I151" si="32">H154+H153</f>
        <v>290</v>
      </c>
      <c r="I151" s="22">
        <f t="shared" si="32"/>
        <v>290</v>
      </c>
    </row>
    <row r="152" spans="1:9" ht="26.25" x14ac:dyDescent="0.25">
      <c r="A152" s="111"/>
      <c r="B152" s="111"/>
      <c r="C152" s="11"/>
      <c r="D152" s="11" t="s">
        <v>344</v>
      </c>
      <c r="E152" s="5" t="s">
        <v>345</v>
      </c>
      <c r="F152" s="22" t="e">
        <f>#REF!</f>
        <v>#REF!</v>
      </c>
      <c r="G152" s="22">
        <v>290</v>
      </c>
      <c r="H152" s="22">
        <v>290</v>
      </c>
      <c r="I152" s="22">
        <v>290</v>
      </c>
    </row>
    <row r="153" spans="1:9" x14ac:dyDescent="0.25">
      <c r="A153" s="111"/>
      <c r="B153" s="111"/>
      <c r="C153" s="11"/>
      <c r="D153" s="11"/>
      <c r="E153" s="5" t="s">
        <v>188</v>
      </c>
      <c r="F153" s="22">
        <v>115.3</v>
      </c>
      <c r="G153" s="22">
        <v>111.6</v>
      </c>
      <c r="H153" s="22">
        <v>111.6</v>
      </c>
      <c r="I153" s="22">
        <v>111.6</v>
      </c>
    </row>
    <row r="154" spans="1:9" x14ac:dyDescent="0.25">
      <c r="A154" s="111"/>
      <c r="B154" s="111"/>
      <c r="C154" s="11"/>
      <c r="D154" s="11"/>
      <c r="E154" s="5" t="s">
        <v>121</v>
      </c>
      <c r="F154" s="22">
        <v>207.9</v>
      </c>
      <c r="G154" s="22">
        <v>178.4</v>
      </c>
      <c r="H154" s="22">
        <v>178.4</v>
      </c>
      <c r="I154" s="22">
        <v>178.4</v>
      </c>
    </row>
    <row r="155" spans="1:9" ht="39" x14ac:dyDescent="0.25">
      <c r="A155" s="111"/>
      <c r="B155" s="111"/>
      <c r="C155" s="11" t="s">
        <v>617</v>
      </c>
      <c r="D155" s="11"/>
      <c r="E155" s="5" t="s">
        <v>1386</v>
      </c>
      <c r="F155" s="72" t="e">
        <f>#REF!</f>
        <v>#REF!</v>
      </c>
      <c r="G155" s="72">
        <v>31.2</v>
      </c>
      <c r="H155" s="72">
        <v>32.4</v>
      </c>
      <c r="I155" s="72">
        <v>33.700000000000003</v>
      </c>
    </row>
    <row r="156" spans="1:9" ht="26.25" x14ac:dyDescent="0.25">
      <c r="A156" s="111"/>
      <c r="B156" s="111"/>
      <c r="C156" s="11"/>
      <c r="D156" s="11" t="s">
        <v>344</v>
      </c>
      <c r="E156" s="5" t="s">
        <v>345</v>
      </c>
      <c r="F156" s="72"/>
      <c r="G156" s="72">
        <v>27.4</v>
      </c>
      <c r="H156" s="72">
        <v>28.5</v>
      </c>
      <c r="I156" s="72">
        <v>29.7</v>
      </c>
    </row>
    <row r="157" spans="1:9" ht="26.25" x14ac:dyDescent="0.25">
      <c r="A157" s="111"/>
      <c r="B157" s="111"/>
      <c r="C157" s="11"/>
      <c r="D157" s="1" t="s">
        <v>658</v>
      </c>
      <c r="E157" s="2" t="s">
        <v>659</v>
      </c>
      <c r="F157" s="72"/>
      <c r="G157" s="72">
        <v>3.8</v>
      </c>
      <c r="H157" s="72">
        <v>3.9</v>
      </c>
      <c r="I157" s="72">
        <v>4</v>
      </c>
    </row>
    <row r="158" spans="1:9" x14ac:dyDescent="0.25">
      <c r="A158" s="111"/>
      <c r="B158" s="111"/>
      <c r="C158" s="11" t="s">
        <v>618</v>
      </c>
      <c r="D158" s="11"/>
      <c r="E158" s="5" t="s">
        <v>1387</v>
      </c>
      <c r="F158" s="72" t="e">
        <f>#REF!</f>
        <v>#REF!</v>
      </c>
      <c r="G158" s="72">
        <v>20</v>
      </c>
      <c r="H158" s="72">
        <v>20.7</v>
      </c>
      <c r="I158" s="72">
        <v>21.6</v>
      </c>
    </row>
    <row r="159" spans="1:9" ht="26.25" x14ac:dyDescent="0.25">
      <c r="A159" s="111"/>
      <c r="B159" s="111"/>
      <c r="C159" s="11"/>
      <c r="D159" s="1" t="s">
        <v>658</v>
      </c>
      <c r="E159" s="2" t="s">
        <v>659</v>
      </c>
      <c r="F159" s="72"/>
      <c r="G159" s="72">
        <v>20</v>
      </c>
      <c r="H159" s="72">
        <v>20.7</v>
      </c>
      <c r="I159" s="72">
        <v>21.6</v>
      </c>
    </row>
    <row r="160" spans="1:9" ht="51" x14ac:dyDescent="0.25">
      <c r="A160" s="130"/>
      <c r="B160" s="130"/>
      <c r="C160" s="131" t="s">
        <v>476</v>
      </c>
      <c r="D160" s="130"/>
      <c r="E160" s="132" t="s">
        <v>477</v>
      </c>
      <c r="F160" s="22"/>
      <c r="G160" s="147">
        <f>G161</f>
        <v>127.3</v>
      </c>
      <c r="H160" s="147">
        <f t="shared" ref="H160:I160" si="33">H161</f>
        <v>0</v>
      </c>
      <c r="I160" s="147">
        <f t="shared" si="33"/>
        <v>0</v>
      </c>
    </row>
    <row r="161" spans="1:9" ht="26.25" x14ac:dyDescent="0.25">
      <c r="A161" s="52"/>
      <c r="B161" s="52"/>
      <c r="C161" s="52" t="s">
        <v>497</v>
      </c>
      <c r="D161" s="52"/>
      <c r="E161" s="33" t="s">
        <v>498</v>
      </c>
      <c r="F161" s="25" t="e">
        <f t="shared" ref="F161:I161" si="34">F162</f>
        <v>#REF!</v>
      </c>
      <c r="G161" s="25">
        <f t="shared" si="34"/>
        <v>127.3</v>
      </c>
      <c r="H161" s="25">
        <f t="shared" si="34"/>
        <v>0</v>
      </c>
      <c r="I161" s="25">
        <f t="shared" si="34"/>
        <v>0</v>
      </c>
    </row>
    <row r="162" spans="1:9" x14ac:dyDescent="0.25">
      <c r="A162" s="111"/>
      <c r="B162" s="111"/>
      <c r="C162" s="11" t="s">
        <v>499</v>
      </c>
      <c r="D162" s="11"/>
      <c r="E162" s="91" t="s">
        <v>1389</v>
      </c>
      <c r="F162" s="22" t="e">
        <f>#REF!</f>
        <v>#REF!</v>
      </c>
      <c r="G162" s="22">
        <v>127.3</v>
      </c>
      <c r="H162" s="22">
        <v>0</v>
      </c>
      <c r="I162" s="22">
        <v>0</v>
      </c>
    </row>
    <row r="163" spans="1:9" ht="26.25" x14ac:dyDescent="0.25">
      <c r="A163" s="111"/>
      <c r="B163" s="111"/>
      <c r="C163" s="11"/>
      <c r="D163" s="1" t="s">
        <v>344</v>
      </c>
      <c r="E163" s="2" t="s">
        <v>345</v>
      </c>
      <c r="F163" s="22"/>
      <c r="G163" s="22">
        <v>127.3</v>
      </c>
      <c r="H163" s="22">
        <v>0</v>
      </c>
      <c r="I163" s="22">
        <v>0</v>
      </c>
    </row>
    <row r="164" spans="1:9" x14ac:dyDescent="0.25">
      <c r="A164" s="115"/>
      <c r="B164" s="27" t="s">
        <v>696</v>
      </c>
      <c r="C164" s="116"/>
      <c r="D164" s="115"/>
      <c r="E164" s="117" t="s">
        <v>697</v>
      </c>
      <c r="F164" s="22"/>
      <c r="G164" s="45">
        <f>G165+G191+G197+G223</f>
        <v>71655.562000000005</v>
      </c>
      <c r="H164" s="45">
        <f t="shared" ref="H164:I164" si="35">H165+H191+H197+H223</f>
        <v>71732.5</v>
      </c>
      <c r="I164" s="45">
        <f t="shared" si="35"/>
        <v>69442.799999999988</v>
      </c>
    </row>
    <row r="165" spans="1:9" x14ac:dyDescent="0.25">
      <c r="A165" s="115"/>
      <c r="B165" s="27" t="s">
        <v>698</v>
      </c>
      <c r="C165" s="116"/>
      <c r="D165" s="27"/>
      <c r="E165" s="122" t="s">
        <v>699</v>
      </c>
      <c r="F165" s="22"/>
      <c r="G165" s="45">
        <f>G166+G187</f>
        <v>442.7</v>
      </c>
      <c r="H165" s="45">
        <f t="shared" ref="H165:I165" si="36">H166+H187</f>
        <v>452.1</v>
      </c>
      <c r="I165" s="45">
        <f t="shared" si="36"/>
        <v>354.8</v>
      </c>
    </row>
    <row r="166" spans="1:9" ht="25.5" x14ac:dyDescent="0.25">
      <c r="A166" s="115"/>
      <c r="B166" s="27"/>
      <c r="C166" s="116" t="s">
        <v>6</v>
      </c>
      <c r="D166" s="115"/>
      <c r="E166" s="122" t="s">
        <v>7</v>
      </c>
      <c r="F166" s="22"/>
      <c r="G166" s="45">
        <f>G167+G181</f>
        <v>354.7</v>
      </c>
      <c r="H166" s="45">
        <f t="shared" ref="H166:I166" si="37">H167+H181</f>
        <v>364.1</v>
      </c>
      <c r="I166" s="45">
        <f t="shared" si="37"/>
        <v>266.8</v>
      </c>
    </row>
    <row r="167" spans="1:9" ht="25.5" x14ac:dyDescent="0.25">
      <c r="A167" s="130"/>
      <c r="B167" s="130"/>
      <c r="C167" s="131" t="s">
        <v>346</v>
      </c>
      <c r="D167" s="130"/>
      <c r="E167" s="132" t="s">
        <v>347</v>
      </c>
      <c r="F167" s="22" t="e">
        <f>#REF!</f>
        <v>#REF!</v>
      </c>
      <c r="G167" s="147">
        <f>G168</f>
        <v>246.9</v>
      </c>
      <c r="H167" s="147">
        <f t="shared" ref="H167:I167" si="38">H168</f>
        <v>256.7</v>
      </c>
      <c r="I167" s="147">
        <f t="shared" si="38"/>
        <v>266.8</v>
      </c>
    </row>
    <row r="168" spans="1:9" ht="26.25" x14ac:dyDescent="0.25">
      <c r="A168" s="49"/>
      <c r="B168" s="49"/>
      <c r="C168" s="49" t="s">
        <v>624</v>
      </c>
      <c r="D168" s="49"/>
      <c r="E168" s="82" t="s">
        <v>625</v>
      </c>
      <c r="F168" s="51"/>
      <c r="G168" s="51">
        <f>G169+G172</f>
        <v>246.9</v>
      </c>
      <c r="H168" s="51">
        <f t="shared" ref="H168:I168" si="39">H169+H172</f>
        <v>256.7</v>
      </c>
      <c r="I168" s="51">
        <f t="shared" si="39"/>
        <v>266.8</v>
      </c>
    </row>
    <row r="169" spans="1:9" ht="26.25" x14ac:dyDescent="0.25">
      <c r="A169" s="52"/>
      <c r="B169" s="52"/>
      <c r="C169" s="52" t="s">
        <v>626</v>
      </c>
      <c r="D169" s="52"/>
      <c r="E169" s="33" t="s">
        <v>474</v>
      </c>
      <c r="F169" s="25"/>
      <c r="G169" s="25">
        <f>G170</f>
        <v>120</v>
      </c>
      <c r="H169" s="25">
        <f t="shared" ref="H169:I169" si="40">H170</f>
        <v>124.8</v>
      </c>
      <c r="I169" s="25">
        <f t="shared" si="40"/>
        <v>130</v>
      </c>
    </row>
    <row r="170" spans="1:9" x14ac:dyDescent="0.25">
      <c r="A170" s="11"/>
      <c r="B170" s="11"/>
      <c r="C170" s="11" t="s">
        <v>627</v>
      </c>
      <c r="D170" s="11"/>
      <c r="E170" s="31" t="s">
        <v>349</v>
      </c>
      <c r="F170" s="48"/>
      <c r="G170" s="72">
        <v>120</v>
      </c>
      <c r="H170" s="72">
        <v>124.8</v>
      </c>
      <c r="I170" s="72">
        <v>130</v>
      </c>
    </row>
    <row r="171" spans="1:9" ht="26.25" x14ac:dyDescent="0.25">
      <c r="A171" s="11"/>
      <c r="B171" s="11"/>
      <c r="C171" s="11"/>
      <c r="D171" s="11" t="s">
        <v>344</v>
      </c>
      <c r="E171" s="5" t="s">
        <v>345</v>
      </c>
      <c r="F171" s="48"/>
      <c r="G171" s="72">
        <v>120</v>
      </c>
      <c r="H171" s="72">
        <v>124.8</v>
      </c>
      <c r="I171" s="72">
        <v>130</v>
      </c>
    </row>
    <row r="172" spans="1:9" x14ac:dyDescent="0.25">
      <c r="A172" s="52"/>
      <c r="B172" s="52"/>
      <c r="C172" s="52" t="s">
        <v>628</v>
      </c>
      <c r="D172" s="52"/>
      <c r="E172" s="33" t="s">
        <v>475</v>
      </c>
      <c r="F172" s="25"/>
      <c r="G172" s="25">
        <f>G173+G175+G177+G179</f>
        <v>126.9</v>
      </c>
      <c r="H172" s="25">
        <f t="shared" ref="H172:I172" si="41">H173+H175+H177+H179</f>
        <v>131.9</v>
      </c>
      <c r="I172" s="25">
        <f t="shared" si="41"/>
        <v>136.80000000000001</v>
      </c>
    </row>
    <row r="173" spans="1:9" ht="26.25" x14ac:dyDescent="0.25">
      <c r="A173" s="111"/>
      <c r="B173" s="111"/>
      <c r="C173" s="11" t="s">
        <v>629</v>
      </c>
      <c r="D173" s="11"/>
      <c r="E173" s="31" t="s">
        <v>350</v>
      </c>
      <c r="F173" s="48"/>
      <c r="G173" s="72">
        <f>100-64</f>
        <v>36</v>
      </c>
      <c r="H173" s="72">
        <f>104-66.6</f>
        <v>37.400000000000006</v>
      </c>
      <c r="I173" s="72">
        <f>108-69.3</f>
        <v>38.700000000000003</v>
      </c>
    </row>
    <row r="174" spans="1:9" ht="26.25" x14ac:dyDescent="0.25">
      <c r="A174" s="111"/>
      <c r="B174" s="111"/>
      <c r="C174" s="11"/>
      <c r="D174" s="11" t="s">
        <v>344</v>
      </c>
      <c r="E174" s="5" t="s">
        <v>345</v>
      </c>
      <c r="F174" s="48"/>
      <c r="G174" s="72">
        <f>100-64</f>
        <v>36</v>
      </c>
      <c r="H174" s="72">
        <f>104-66.6</f>
        <v>37.400000000000006</v>
      </c>
      <c r="I174" s="72">
        <f>108-69.3</f>
        <v>38.700000000000003</v>
      </c>
    </row>
    <row r="175" spans="1:9" ht="26.25" x14ac:dyDescent="0.25">
      <c r="A175" s="111"/>
      <c r="B175" s="111"/>
      <c r="C175" s="11" t="s">
        <v>630</v>
      </c>
      <c r="D175" s="11"/>
      <c r="E175" s="31" t="s">
        <v>351</v>
      </c>
      <c r="F175" s="48"/>
      <c r="G175" s="72">
        <v>40</v>
      </c>
      <c r="H175" s="72">
        <v>41.6</v>
      </c>
      <c r="I175" s="72">
        <v>43.2</v>
      </c>
    </row>
    <row r="176" spans="1:9" ht="26.25" x14ac:dyDescent="0.25">
      <c r="A176" s="111"/>
      <c r="B176" s="111"/>
      <c r="C176" s="11"/>
      <c r="D176" s="11" t="s">
        <v>344</v>
      </c>
      <c r="E176" s="5" t="s">
        <v>345</v>
      </c>
      <c r="F176" s="48"/>
      <c r="G176" s="72">
        <v>40</v>
      </c>
      <c r="H176" s="72">
        <v>41.6</v>
      </c>
      <c r="I176" s="72">
        <v>43.2</v>
      </c>
    </row>
    <row r="177" spans="1:9" x14ac:dyDescent="0.25">
      <c r="A177" s="111"/>
      <c r="B177" s="111"/>
      <c r="C177" s="11" t="s">
        <v>631</v>
      </c>
      <c r="D177" s="11"/>
      <c r="E177" s="31" t="s">
        <v>352</v>
      </c>
      <c r="F177" s="48"/>
      <c r="G177" s="72">
        <f>50-24.2</f>
        <v>25.8</v>
      </c>
      <c r="H177" s="72">
        <f>52-25.2</f>
        <v>26.8</v>
      </c>
      <c r="I177" s="72">
        <f>54-26.2</f>
        <v>27.8</v>
      </c>
    </row>
    <row r="178" spans="1:9" ht="26.25" x14ac:dyDescent="0.25">
      <c r="A178" s="111"/>
      <c r="B178" s="111"/>
      <c r="C178" s="11"/>
      <c r="D178" s="11" t="s">
        <v>344</v>
      </c>
      <c r="E178" s="5" t="s">
        <v>345</v>
      </c>
      <c r="F178" s="48"/>
      <c r="G178" s="72">
        <f>50-24.2</f>
        <v>25.8</v>
      </c>
      <c r="H178" s="72">
        <f>52-25.2</f>
        <v>26.8</v>
      </c>
      <c r="I178" s="72">
        <f>54-26.2</f>
        <v>27.8</v>
      </c>
    </row>
    <row r="179" spans="1:9" ht="15.75" customHeight="1" x14ac:dyDescent="0.25">
      <c r="A179" s="111"/>
      <c r="B179" s="111"/>
      <c r="C179" s="11" t="s">
        <v>632</v>
      </c>
      <c r="D179" s="11"/>
      <c r="E179" s="31" t="s">
        <v>353</v>
      </c>
      <c r="F179" s="48"/>
      <c r="G179" s="72">
        <f>50-24.9</f>
        <v>25.1</v>
      </c>
      <c r="H179" s="72">
        <f>52-25.9</f>
        <v>26.1</v>
      </c>
      <c r="I179" s="72">
        <f>54-26.9</f>
        <v>27.1</v>
      </c>
    </row>
    <row r="180" spans="1:9" ht="26.25" x14ac:dyDescent="0.25">
      <c r="A180" s="111"/>
      <c r="B180" s="111"/>
      <c r="C180" s="11"/>
      <c r="D180" s="11" t="s">
        <v>344</v>
      </c>
      <c r="E180" s="5" t="s">
        <v>345</v>
      </c>
      <c r="F180" s="48"/>
      <c r="G180" s="72">
        <f>50-24.9</f>
        <v>25.1</v>
      </c>
      <c r="H180" s="72">
        <f>52-25.9</f>
        <v>26.1</v>
      </c>
      <c r="I180" s="72">
        <f>54-26.9</f>
        <v>27.1</v>
      </c>
    </row>
    <row r="181" spans="1:9" ht="25.5" x14ac:dyDescent="0.25">
      <c r="A181" s="130"/>
      <c r="B181" s="130"/>
      <c r="C181" s="131" t="s">
        <v>354</v>
      </c>
      <c r="D181" s="130"/>
      <c r="E181" s="132" t="s">
        <v>355</v>
      </c>
      <c r="F181" s="22"/>
      <c r="G181" s="147">
        <f>G182</f>
        <v>107.8</v>
      </c>
      <c r="H181" s="147">
        <f t="shared" ref="H181:I182" si="42">H182</f>
        <v>107.4</v>
      </c>
      <c r="I181" s="147">
        <f t="shared" si="42"/>
        <v>0</v>
      </c>
    </row>
    <row r="182" spans="1:9" ht="26.25" x14ac:dyDescent="0.25">
      <c r="A182" s="49"/>
      <c r="B182" s="49"/>
      <c r="C182" s="49" t="s">
        <v>373</v>
      </c>
      <c r="D182" s="49"/>
      <c r="E182" s="82" t="s">
        <v>374</v>
      </c>
      <c r="F182" s="51"/>
      <c r="G182" s="51">
        <f>G183</f>
        <v>107.8</v>
      </c>
      <c r="H182" s="51">
        <f t="shared" si="42"/>
        <v>107.4</v>
      </c>
      <c r="I182" s="51">
        <f t="shared" si="42"/>
        <v>0</v>
      </c>
    </row>
    <row r="183" spans="1:9" ht="39" x14ac:dyDescent="0.25">
      <c r="A183" s="52"/>
      <c r="B183" s="52"/>
      <c r="C183" s="52" t="s">
        <v>402</v>
      </c>
      <c r="D183" s="56"/>
      <c r="E183" s="33" t="s">
        <v>661</v>
      </c>
      <c r="F183" s="25"/>
      <c r="G183" s="25">
        <f>G184</f>
        <v>107.8</v>
      </c>
      <c r="H183" s="25">
        <f t="shared" ref="H183:I183" si="43">H184</f>
        <v>107.4</v>
      </c>
      <c r="I183" s="25">
        <f t="shared" si="43"/>
        <v>0</v>
      </c>
    </row>
    <row r="184" spans="1:9" ht="38.25" x14ac:dyDescent="0.25">
      <c r="A184" s="111"/>
      <c r="B184" s="111"/>
      <c r="C184" s="26" t="s">
        <v>637</v>
      </c>
      <c r="D184" s="26"/>
      <c r="E184" s="3" t="s">
        <v>638</v>
      </c>
      <c r="F184" s="72">
        <f t="shared" ref="F184" si="44">F186</f>
        <v>0</v>
      </c>
      <c r="G184" s="72">
        <f>G186</f>
        <v>107.8</v>
      </c>
      <c r="H184" s="72">
        <f t="shared" ref="H184:I184" si="45">H186</f>
        <v>107.4</v>
      </c>
      <c r="I184" s="72">
        <f t="shared" si="45"/>
        <v>0</v>
      </c>
    </row>
    <row r="185" spans="1:9" ht="26.25" x14ac:dyDescent="0.25">
      <c r="A185" s="111"/>
      <c r="B185" s="111"/>
      <c r="C185" s="26"/>
      <c r="D185" s="1" t="s">
        <v>344</v>
      </c>
      <c r="E185" s="2" t="s">
        <v>345</v>
      </c>
      <c r="F185" s="72"/>
      <c r="G185" s="72">
        <v>107.8</v>
      </c>
      <c r="H185" s="72">
        <v>107.4</v>
      </c>
      <c r="I185" s="72">
        <v>0</v>
      </c>
    </row>
    <row r="186" spans="1:9" x14ac:dyDescent="0.25">
      <c r="A186" s="111"/>
      <c r="B186" s="111"/>
      <c r="C186" s="20"/>
      <c r="D186" s="36"/>
      <c r="E186" s="15" t="s">
        <v>121</v>
      </c>
      <c r="F186" s="22"/>
      <c r="G186" s="22">
        <v>107.8</v>
      </c>
      <c r="H186" s="22">
        <v>107.4</v>
      </c>
      <c r="I186" s="22">
        <v>0</v>
      </c>
    </row>
    <row r="187" spans="1:9" x14ac:dyDescent="0.25">
      <c r="A187" s="119"/>
      <c r="B187" s="119"/>
      <c r="C187" s="116" t="s">
        <v>671</v>
      </c>
      <c r="D187" s="27"/>
      <c r="E187" s="117" t="s">
        <v>672</v>
      </c>
      <c r="F187" s="124"/>
      <c r="G187" s="124">
        <f>G188</f>
        <v>88</v>
      </c>
      <c r="H187" s="124">
        <f t="shared" ref="H187:I188" si="46">H188</f>
        <v>88</v>
      </c>
      <c r="I187" s="124">
        <f t="shared" si="46"/>
        <v>88</v>
      </c>
    </row>
    <row r="188" spans="1:9" ht="38.25" x14ac:dyDescent="0.25">
      <c r="A188" s="119"/>
      <c r="B188" s="119"/>
      <c r="C188" s="116" t="s">
        <v>539</v>
      </c>
      <c r="D188" s="27"/>
      <c r="E188" s="117" t="s">
        <v>540</v>
      </c>
      <c r="F188" s="124"/>
      <c r="G188" s="124">
        <f>G189</f>
        <v>88</v>
      </c>
      <c r="H188" s="124">
        <f t="shared" si="46"/>
        <v>88</v>
      </c>
      <c r="I188" s="124">
        <f t="shared" si="46"/>
        <v>88</v>
      </c>
    </row>
    <row r="189" spans="1:9" ht="26.25" x14ac:dyDescent="0.25">
      <c r="A189" s="111"/>
      <c r="B189" s="111"/>
      <c r="C189" s="11" t="s">
        <v>558</v>
      </c>
      <c r="D189" s="11"/>
      <c r="E189" s="14" t="s">
        <v>559</v>
      </c>
      <c r="F189" s="22">
        <f>F190</f>
        <v>130.80000000000001</v>
      </c>
      <c r="G189" s="22">
        <f>G190</f>
        <v>88</v>
      </c>
      <c r="H189" s="22">
        <f>H190</f>
        <v>88</v>
      </c>
      <c r="I189" s="22">
        <f>I190</f>
        <v>88</v>
      </c>
    </row>
    <row r="190" spans="1:9" ht="26.25" x14ac:dyDescent="0.25">
      <c r="A190" s="111"/>
      <c r="B190" s="111"/>
      <c r="C190" s="11"/>
      <c r="D190" s="11" t="s">
        <v>344</v>
      </c>
      <c r="E190" s="5" t="s">
        <v>345</v>
      </c>
      <c r="F190" s="22">
        <v>130.80000000000001</v>
      </c>
      <c r="G190" s="22">
        <v>88</v>
      </c>
      <c r="H190" s="22">
        <v>88</v>
      </c>
      <c r="I190" s="22">
        <v>88</v>
      </c>
    </row>
    <row r="191" spans="1:9" x14ac:dyDescent="0.25">
      <c r="A191" s="115"/>
      <c r="B191" s="27" t="s">
        <v>700</v>
      </c>
      <c r="C191" s="116"/>
      <c r="D191" s="115"/>
      <c r="E191" s="117" t="s">
        <v>701</v>
      </c>
      <c r="F191" s="57"/>
      <c r="G191" s="124">
        <f>G192</f>
        <v>3367.5</v>
      </c>
      <c r="H191" s="124">
        <f t="shared" ref="H191:I192" si="47">H192</f>
        <v>3502.2</v>
      </c>
      <c r="I191" s="124">
        <f t="shared" si="47"/>
        <v>3642.3</v>
      </c>
    </row>
    <row r="192" spans="1:9" ht="25.5" x14ac:dyDescent="0.25">
      <c r="A192" s="130"/>
      <c r="B192" s="130"/>
      <c r="C192" s="131" t="s">
        <v>441</v>
      </c>
      <c r="D192" s="130"/>
      <c r="E192" s="132" t="s">
        <v>442</v>
      </c>
      <c r="F192" s="22"/>
      <c r="G192" s="147">
        <f>G193</f>
        <v>3367.5</v>
      </c>
      <c r="H192" s="147">
        <f t="shared" si="47"/>
        <v>3502.2</v>
      </c>
      <c r="I192" s="147">
        <f t="shared" si="47"/>
        <v>3642.3</v>
      </c>
    </row>
    <row r="193" spans="1:9" ht="26.25" x14ac:dyDescent="0.25">
      <c r="A193" s="49"/>
      <c r="B193" s="49"/>
      <c r="C193" s="49" t="s">
        <v>462</v>
      </c>
      <c r="D193" s="49"/>
      <c r="E193" s="50" t="s">
        <v>463</v>
      </c>
      <c r="F193" s="51" t="e">
        <f t="shared" ref="F193:I194" si="48">F194</f>
        <v>#REF!</v>
      </c>
      <c r="G193" s="51">
        <f t="shared" si="48"/>
        <v>3367.5</v>
      </c>
      <c r="H193" s="51">
        <f t="shared" si="48"/>
        <v>3502.2</v>
      </c>
      <c r="I193" s="51">
        <f t="shared" si="48"/>
        <v>3642.3</v>
      </c>
    </row>
    <row r="194" spans="1:9" ht="26.25" x14ac:dyDescent="0.25">
      <c r="A194" s="52"/>
      <c r="B194" s="52"/>
      <c r="C194" s="52" t="s">
        <v>464</v>
      </c>
      <c r="D194" s="52"/>
      <c r="E194" s="53" t="s">
        <v>465</v>
      </c>
      <c r="F194" s="25" t="e">
        <f t="shared" si="48"/>
        <v>#REF!</v>
      </c>
      <c r="G194" s="25">
        <f t="shared" si="48"/>
        <v>3367.5</v>
      </c>
      <c r="H194" s="25">
        <f t="shared" si="48"/>
        <v>3502.2</v>
      </c>
      <c r="I194" s="25">
        <f t="shared" si="48"/>
        <v>3642.3</v>
      </c>
    </row>
    <row r="195" spans="1:9" ht="26.25" x14ac:dyDescent="0.25">
      <c r="A195" s="111"/>
      <c r="B195" s="111"/>
      <c r="C195" s="11" t="s">
        <v>466</v>
      </c>
      <c r="D195" s="20"/>
      <c r="E195" s="5" t="s">
        <v>467</v>
      </c>
      <c r="F195" s="22" t="e">
        <f>#REF!</f>
        <v>#REF!</v>
      </c>
      <c r="G195" s="22">
        <v>3367.5</v>
      </c>
      <c r="H195" s="22">
        <v>3502.2</v>
      </c>
      <c r="I195" s="22">
        <v>3642.3</v>
      </c>
    </row>
    <row r="196" spans="1:9" ht="26.25" x14ac:dyDescent="0.25">
      <c r="A196" s="111"/>
      <c r="B196" s="111"/>
      <c r="C196" s="11"/>
      <c r="D196" s="1" t="s">
        <v>344</v>
      </c>
      <c r="E196" s="2" t="s">
        <v>345</v>
      </c>
      <c r="F196" s="22"/>
      <c r="G196" s="22">
        <v>3367.5</v>
      </c>
      <c r="H196" s="22">
        <v>3502.2</v>
      </c>
      <c r="I196" s="22">
        <v>3642.3</v>
      </c>
    </row>
    <row r="197" spans="1:9" x14ac:dyDescent="0.25">
      <c r="A197" s="110"/>
      <c r="B197" s="27" t="s">
        <v>702</v>
      </c>
      <c r="C197" s="116"/>
      <c r="D197" s="115"/>
      <c r="E197" s="117" t="s">
        <v>703</v>
      </c>
      <c r="F197" s="57"/>
      <c r="G197" s="124">
        <f>G198</f>
        <v>59296.5</v>
      </c>
      <c r="H197" s="124">
        <f t="shared" ref="H197:I198" si="49">H198</f>
        <v>61874.1</v>
      </c>
      <c r="I197" s="124">
        <f t="shared" si="49"/>
        <v>60409.799999999996</v>
      </c>
    </row>
    <row r="198" spans="1:9" ht="25.5" x14ac:dyDescent="0.25">
      <c r="A198" s="110"/>
      <c r="B198" s="27"/>
      <c r="C198" s="116" t="s">
        <v>6</v>
      </c>
      <c r="D198" s="115"/>
      <c r="E198" s="122" t="s">
        <v>7</v>
      </c>
      <c r="F198" s="57"/>
      <c r="G198" s="124">
        <f>G199</f>
        <v>59296.5</v>
      </c>
      <c r="H198" s="124">
        <f t="shared" si="49"/>
        <v>61874.1</v>
      </c>
      <c r="I198" s="124">
        <f t="shared" si="49"/>
        <v>60409.799999999996</v>
      </c>
    </row>
    <row r="199" spans="1:9" ht="25.5" x14ac:dyDescent="0.25">
      <c r="A199" s="130"/>
      <c r="B199" s="130"/>
      <c r="C199" s="131" t="s">
        <v>441</v>
      </c>
      <c r="D199" s="130"/>
      <c r="E199" s="132" t="s">
        <v>442</v>
      </c>
      <c r="F199" s="22" t="e">
        <f>F200+F193+F219</f>
        <v>#REF!</v>
      </c>
      <c r="G199" s="147">
        <f>G200+G219</f>
        <v>59296.5</v>
      </c>
      <c r="H199" s="147">
        <f t="shared" ref="H199:I199" si="50">H200+H219</f>
        <v>61874.1</v>
      </c>
      <c r="I199" s="147">
        <f t="shared" si="50"/>
        <v>60409.799999999996</v>
      </c>
    </row>
    <row r="200" spans="1:9" ht="26.25" x14ac:dyDescent="0.25">
      <c r="A200" s="49"/>
      <c r="B200" s="49"/>
      <c r="C200" s="49" t="s">
        <v>443</v>
      </c>
      <c r="D200" s="49"/>
      <c r="E200" s="50" t="s">
        <v>444</v>
      </c>
      <c r="F200" s="51" t="e">
        <f t="shared" ref="F200:I200" si="51">F201+F204+F207+F217</f>
        <v>#REF!</v>
      </c>
      <c r="G200" s="51">
        <f t="shared" si="51"/>
        <v>58746.2</v>
      </c>
      <c r="H200" s="51">
        <f t="shared" si="51"/>
        <v>61301.799999999996</v>
      </c>
      <c r="I200" s="51">
        <f t="shared" si="51"/>
        <v>59814.6</v>
      </c>
    </row>
    <row r="201" spans="1:9" x14ac:dyDescent="0.25">
      <c r="A201" s="52"/>
      <c r="B201" s="52"/>
      <c r="C201" s="52" t="s">
        <v>445</v>
      </c>
      <c r="D201" s="52"/>
      <c r="E201" s="53" t="s">
        <v>446</v>
      </c>
      <c r="F201" s="25" t="e">
        <f t="shared" ref="F201:I204" si="52">F202</f>
        <v>#REF!</v>
      </c>
      <c r="G201" s="25">
        <f t="shared" si="52"/>
        <v>500</v>
      </c>
      <c r="H201" s="25">
        <f t="shared" si="52"/>
        <v>520</v>
      </c>
      <c r="I201" s="25">
        <f t="shared" si="52"/>
        <v>540.79999999999995</v>
      </c>
    </row>
    <row r="202" spans="1:9" x14ac:dyDescent="0.25">
      <c r="A202" s="11"/>
      <c r="B202" s="11"/>
      <c r="C202" s="11" t="s">
        <v>447</v>
      </c>
      <c r="D202" s="20"/>
      <c r="E202" s="5" t="s">
        <v>448</v>
      </c>
      <c r="F202" s="22" t="e">
        <f>#REF!</f>
        <v>#REF!</v>
      </c>
      <c r="G202" s="22">
        <v>500</v>
      </c>
      <c r="H202" s="22">
        <v>520</v>
      </c>
      <c r="I202" s="22">
        <v>540.79999999999995</v>
      </c>
    </row>
    <row r="203" spans="1:9" ht="26.25" x14ac:dyDescent="0.25">
      <c r="A203" s="11"/>
      <c r="B203" s="11"/>
      <c r="C203" s="11"/>
      <c r="D203" s="1" t="s">
        <v>344</v>
      </c>
      <c r="E203" s="2" t="s">
        <v>345</v>
      </c>
      <c r="F203" s="22"/>
      <c r="G203" s="22">
        <v>500</v>
      </c>
      <c r="H203" s="22">
        <v>520</v>
      </c>
      <c r="I203" s="22">
        <v>540.79999999999995</v>
      </c>
    </row>
    <row r="204" spans="1:9" x14ac:dyDescent="0.25">
      <c r="A204" s="52"/>
      <c r="B204" s="52"/>
      <c r="C204" s="52" t="s">
        <v>646</v>
      </c>
      <c r="D204" s="52"/>
      <c r="E204" s="53" t="s">
        <v>449</v>
      </c>
      <c r="F204" s="25" t="e">
        <f t="shared" si="52"/>
        <v>#REF!</v>
      </c>
      <c r="G204" s="25">
        <f t="shared" si="52"/>
        <v>3833.3</v>
      </c>
      <c r="H204" s="25">
        <f t="shared" si="52"/>
        <v>0</v>
      </c>
      <c r="I204" s="25">
        <f t="shared" si="52"/>
        <v>0</v>
      </c>
    </row>
    <row r="205" spans="1:9" ht="26.25" x14ac:dyDescent="0.25">
      <c r="A205" s="11"/>
      <c r="B205" s="11"/>
      <c r="C205" s="11" t="s">
        <v>647</v>
      </c>
      <c r="D205" s="20"/>
      <c r="E205" s="5" t="s">
        <v>450</v>
      </c>
      <c r="F205" s="22" t="e">
        <f>#REF!</f>
        <v>#REF!</v>
      </c>
      <c r="G205" s="22">
        <v>3833.3</v>
      </c>
      <c r="H205" s="22">
        <v>0</v>
      </c>
      <c r="I205" s="22">
        <v>0</v>
      </c>
    </row>
    <row r="206" spans="1:9" ht="26.25" x14ac:dyDescent="0.25">
      <c r="A206" s="11"/>
      <c r="B206" s="11"/>
      <c r="C206" s="11"/>
      <c r="D206" s="1" t="s">
        <v>344</v>
      </c>
      <c r="E206" s="2" t="s">
        <v>345</v>
      </c>
      <c r="F206" s="22"/>
      <c r="G206" s="22">
        <v>3833.3</v>
      </c>
      <c r="H206" s="22">
        <v>0</v>
      </c>
      <c r="I206" s="22">
        <v>0</v>
      </c>
    </row>
    <row r="207" spans="1:9" ht="26.25" x14ac:dyDescent="0.25">
      <c r="A207" s="52"/>
      <c r="B207" s="52"/>
      <c r="C207" s="52" t="s">
        <v>451</v>
      </c>
      <c r="D207" s="52"/>
      <c r="E207" s="53" t="s">
        <v>452</v>
      </c>
      <c r="F207" s="25" t="e">
        <f t="shared" ref="F207:I207" si="53">F208+F212+F214+F215</f>
        <v>#REF!</v>
      </c>
      <c r="G207" s="25">
        <f>G208+G212+G214+G215</f>
        <v>27098.6</v>
      </c>
      <c r="H207" s="25">
        <f t="shared" si="53"/>
        <v>32374.899999999998</v>
      </c>
      <c r="I207" s="25">
        <f t="shared" si="53"/>
        <v>29730.7</v>
      </c>
    </row>
    <row r="208" spans="1:9" x14ac:dyDescent="0.25">
      <c r="A208" s="11"/>
      <c r="B208" s="11"/>
      <c r="C208" s="11" t="s">
        <v>453</v>
      </c>
      <c r="D208" s="20"/>
      <c r="E208" s="5" t="s">
        <v>454</v>
      </c>
      <c r="F208" s="22" t="e">
        <f>#REF!</f>
        <v>#REF!</v>
      </c>
      <c r="G208" s="22">
        <f>G210+G211</f>
        <v>20083.900000000001</v>
      </c>
      <c r="H208" s="22">
        <f t="shared" ref="H208:I208" si="54">H210+H211</f>
        <v>29008.6</v>
      </c>
      <c r="I208" s="22">
        <f t="shared" si="54"/>
        <v>28846.3</v>
      </c>
    </row>
    <row r="209" spans="1:9" ht="26.25" x14ac:dyDescent="0.25">
      <c r="A209" s="11"/>
      <c r="B209" s="11"/>
      <c r="C209" s="11"/>
      <c r="D209" s="1" t="s">
        <v>344</v>
      </c>
      <c r="E209" s="2" t="s">
        <v>345</v>
      </c>
      <c r="F209" s="22"/>
      <c r="G209" s="22">
        <f>SUM(G210+G211)</f>
        <v>20083.900000000001</v>
      </c>
      <c r="H209" s="22">
        <v>29008.6</v>
      </c>
      <c r="I209" s="22">
        <v>28846.3</v>
      </c>
    </row>
    <row r="210" spans="1:9" x14ac:dyDescent="0.25">
      <c r="A210" s="11"/>
      <c r="B210" s="11"/>
      <c r="C210" s="11"/>
      <c r="D210" s="11"/>
      <c r="E210" s="5" t="s">
        <v>95</v>
      </c>
      <c r="F210" s="22">
        <v>18075.5</v>
      </c>
      <c r="G210" s="22">
        <v>18075.5</v>
      </c>
      <c r="H210" s="22">
        <v>26107.599999999999</v>
      </c>
      <c r="I210" s="22">
        <v>25961.7</v>
      </c>
    </row>
    <row r="211" spans="1:9" x14ac:dyDescent="0.25">
      <c r="A211" s="11"/>
      <c r="B211" s="11"/>
      <c r="C211" s="11"/>
      <c r="D211" s="11"/>
      <c r="E211" s="5" t="s">
        <v>172</v>
      </c>
      <c r="F211" s="22">
        <v>2008.4</v>
      </c>
      <c r="G211" s="22">
        <v>2008.4</v>
      </c>
      <c r="H211" s="22">
        <v>2901</v>
      </c>
      <c r="I211" s="22">
        <v>2884.6</v>
      </c>
    </row>
    <row r="212" spans="1:9" ht="20.25" customHeight="1" x14ac:dyDescent="0.25">
      <c r="A212" s="11"/>
      <c r="B212" s="11"/>
      <c r="C212" s="11" t="s">
        <v>644</v>
      </c>
      <c r="D212" s="20"/>
      <c r="E212" s="5" t="s">
        <v>662</v>
      </c>
      <c r="F212" s="22" t="e">
        <f>#REF!</f>
        <v>#REF!</v>
      </c>
      <c r="G212" s="22">
        <f>G213</f>
        <v>2913.3</v>
      </c>
      <c r="H212" s="22">
        <f t="shared" ref="H212:I212" si="55">H213</f>
        <v>0</v>
      </c>
      <c r="I212" s="22">
        <f t="shared" si="55"/>
        <v>0</v>
      </c>
    </row>
    <row r="213" spans="1:9" ht="26.25" x14ac:dyDescent="0.25">
      <c r="A213" s="11"/>
      <c r="B213" s="11"/>
      <c r="C213" s="11"/>
      <c r="D213" s="1" t="s">
        <v>344</v>
      </c>
      <c r="E213" s="2" t="s">
        <v>345</v>
      </c>
      <c r="F213" s="22"/>
      <c r="G213" s="22">
        <v>2913.3</v>
      </c>
      <c r="H213" s="22">
        <v>0</v>
      </c>
      <c r="I213" s="22">
        <v>0</v>
      </c>
    </row>
    <row r="214" spans="1:9" x14ac:dyDescent="0.25">
      <c r="A214" s="11"/>
      <c r="B214" s="11"/>
      <c r="C214" s="11" t="s">
        <v>455</v>
      </c>
      <c r="D214" s="20"/>
      <c r="E214" s="5" t="s">
        <v>645</v>
      </c>
      <c r="F214" s="22" t="e">
        <f>#REF!</f>
        <v>#REF!</v>
      </c>
      <c r="G214" s="22">
        <v>4101.3999999999996</v>
      </c>
      <c r="H214" s="22">
        <v>3366.3</v>
      </c>
      <c r="I214" s="22">
        <v>884.4</v>
      </c>
    </row>
    <row r="215" spans="1:9" ht="25.5" x14ac:dyDescent="0.25">
      <c r="A215" s="8"/>
      <c r="B215" s="8"/>
      <c r="C215" s="8" t="s">
        <v>456</v>
      </c>
      <c r="D215" s="8"/>
      <c r="E215" s="10" t="s">
        <v>457</v>
      </c>
      <c r="F215" s="22"/>
      <c r="G215" s="22">
        <v>0</v>
      </c>
      <c r="H215" s="22">
        <v>0</v>
      </c>
      <c r="I215" s="22">
        <v>0</v>
      </c>
    </row>
    <row r="216" spans="1:9" ht="26.25" x14ac:dyDescent="0.25">
      <c r="A216" s="8"/>
      <c r="B216" s="8"/>
      <c r="C216" s="8"/>
      <c r="D216" s="1" t="s">
        <v>344</v>
      </c>
      <c r="E216" s="2" t="s">
        <v>345</v>
      </c>
      <c r="F216" s="22"/>
      <c r="G216" s="22">
        <v>4101.3999999999996</v>
      </c>
      <c r="H216" s="22">
        <v>3366.3</v>
      </c>
      <c r="I216" s="22">
        <v>884.4</v>
      </c>
    </row>
    <row r="217" spans="1:9" x14ac:dyDescent="0.25">
      <c r="A217" s="52"/>
      <c r="B217" s="52"/>
      <c r="C217" s="52" t="s">
        <v>458</v>
      </c>
      <c r="D217" s="52"/>
      <c r="E217" s="53" t="s">
        <v>459</v>
      </c>
      <c r="F217" s="25" t="e">
        <f t="shared" ref="F217:I217" si="56">F218</f>
        <v>#REF!</v>
      </c>
      <c r="G217" s="25">
        <f t="shared" si="56"/>
        <v>27314.3</v>
      </c>
      <c r="H217" s="25">
        <f t="shared" si="56"/>
        <v>28406.9</v>
      </c>
      <c r="I217" s="25">
        <f t="shared" si="56"/>
        <v>29543.1</v>
      </c>
    </row>
    <row r="218" spans="1:9" x14ac:dyDescent="0.25">
      <c r="A218" s="11"/>
      <c r="B218" s="11"/>
      <c r="C218" s="11" t="s">
        <v>460</v>
      </c>
      <c r="D218" s="20"/>
      <c r="E218" s="5" t="s">
        <v>461</v>
      </c>
      <c r="F218" s="22" t="e">
        <f>#REF!</f>
        <v>#REF!</v>
      </c>
      <c r="G218" s="22">
        <v>27314.3</v>
      </c>
      <c r="H218" s="22">
        <v>28406.9</v>
      </c>
      <c r="I218" s="22">
        <v>29543.1</v>
      </c>
    </row>
    <row r="219" spans="1:9" ht="39" x14ac:dyDescent="0.25">
      <c r="A219" s="49"/>
      <c r="B219" s="49"/>
      <c r="C219" s="49" t="s">
        <v>468</v>
      </c>
      <c r="D219" s="49"/>
      <c r="E219" s="50" t="s">
        <v>469</v>
      </c>
      <c r="F219" s="51" t="e">
        <f t="shared" ref="F219:I221" si="57">F220</f>
        <v>#REF!</v>
      </c>
      <c r="G219" s="51">
        <f t="shared" si="57"/>
        <v>550.30000000000018</v>
      </c>
      <c r="H219" s="51">
        <f t="shared" si="57"/>
        <v>572.29999999999995</v>
      </c>
      <c r="I219" s="51">
        <f t="shared" si="57"/>
        <v>595.20000000000005</v>
      </c>
    </row>
    <row r="220" spans="1:9" ht="39" x14ac:dyDescent="0.25">
      <c r="A220" s="52"/>
      <c r="B220" s="52"/>
      <c r="C220" s="52" t="s">
        <v>470</v>
      </c>
      <c r="D220" s="52"/>
      <c r="E220" s="90" t="s">
        <v>471</v>
      </c>
      <c r="F220" s="25" t="e">
        <f t="shared" si="57"/>
        <v>#REF!</v>
      </c>
      <c r="G220" s="25">
        <f t="shared" si="57"/>
        <v>550.30000000000018</v>
      </c>
      <c r="H220" s="25">
        <f t="shared" si="57"/>
        <v>572.29999999999995</v>
      </c>
      <c r="I220" s="25">
        <f t="shared" si="57"/>
        <v>595.20000000000005</v>
      </c>
    </row>
    <row r="221" spans="1:9" ht="26.25" x14ac:dyDescent="0.25">
      <c r="A221" s="111"/>
      <c r="B221" s="111"/>
      <c r="C221" s="11" t="s">
        <v>472</v>
      </c>
      <c r="D221" s="11"/>
      <c r="E221" s="15" t="s">
        <v>648</v>
      </c>
      <c r="F221" s="22" t="e">
        <f>#REF!</f>
        <v>#REF!</v>
      </c>
      <c r="G221" s="22">
        <f>G222</f>
        <v>550.30000000000018</v>
      </c>
      <c r="H221" s="22">
        <f t="shared" si="57"/>
        <v>572.29999999999995</v>
      </c>
      <c r="I221" s="22">
        <f t="shared" si="57"/>
        <v>595.20000000000005</v>
      </c>
    </row>
    <row r="222" spans="1:9" ht="26.25" x14ac:dyDescent="0.25">
      <c r="A222" s="111"/>
      <c r="B222" s="111"/>
      <c r="C222" s="11"/>
      <c r="D222" s="1" t="s">
        <v>344</v>
      </c>
      <c r="E222" s="2" t="s">
        <v>345</v>
      </c>
      <c r="F222" s="22"/>
      <c r="G222" s="22">
        <f>1848.9-1298.6</f>
        <v>550.30000000000018</v>
      </c>
      <c r="H222" s="22">
        <v>572.29999999999995</v>
      </c>
      <c r="I222" s="22">
        <v>595.20000000000005</v>
      </c>
    </row>
    <row r="223" spans="1:9" x14ac:dyDescent="0.25">
      <c r="A223" s="111"/>
      <c r="B223" s="27" t="s">
        <v>704</v>
      </c>
      <c r="C223" s="123"/>
      <c r="D223" s="110"/>
      <c r="E223" s="117" t="s">
        <v>705</v>
      </c>
      <c r="F223" s="22"/>
      <c r="G223" s="449">
        <f>G224+G251</f>
        <v>8548.862000000001</v>
      </c>
      <c r="H223" s="45">
        <f>H224+H251</f>
        <v>5904.1</v>
      </c>
      <c r="I223" s="45">
        <f>I224+I251</f>
        <v>5035.8999999999996</v>
      </c>
    </row>
    <row r="224" spans="1:9" ht="25.5" x14ac:dyDescent="0.25">
      <c r="A224" s="111"/>
      <c r="B224" s="27"/>
      <c r="C224" s="116" t="s">
        <v>6</v>
      </c>
      <c r="D224" s="115"/>
      <c r="E224" s="122" t="s">
        <v>7</v>
      </c>
      <c r="F224" s="22"/>
      <c r="G224" s="45">
        <f>G225+G230+G235</f>
        <v>5654.362000000001</v>
      </c>
      <c r="H224" s="45">
        <f>H225+H230+H235</f>
        <v>3009.6</v>
      </c>
      <c r="I224" s="45">
        <f>I225+I230+I235</f>
        <v>2141.4</v>
      </c>
    </row>
    <row r="225" spans="1:9" s="74" customFormat="1" ht="25.5" x14ac:dyDescent="0.25">
      <c r="A225" s="130"/>
      <c r="B225" s="130"/>
      <c r="C225" s="131" t="s">
        <v>242</v>
      </c>
      <c r="D225" s="130"/>
      <c r="E225" s="132" t="s">
        <v>243</v>
      </c>
      <c r="F225" s="22" t="e">
        <f t="shared" ref="F225:I226" si="58">F226</f>
        <v>#REF!</v>
      </c>
      <c r="G225" s="147">
        <f t="shared" si="58"/>
        <v>946.2</v>
      </c>
      <c r="H225" s="147">
        <f t="shared" si="58"/>
        <v>984</v>
      </c>
      <c r="I225" s="147">
        <f t="shared" si="58"/>
        <v>1023.4</v>
      </c>
    </row>
    <row r="226" spans="1:9" ht="26.25" x14ac:dyDescent="0.25">
      <c r="A226" s="52"/>
      <c r="B226" s="52"/>
      <c r="C226" s="52" t="s">
        <v>244</v>
      </c>
      <c r="D226" s="52"/>
      <c r="E226" s="53" t="s">
        <v>245</v>
      </c>
      <c r="F226" s="25" t="e">
        <f>F227+F265+F267+F271+F269+#REF!</f>
        <v>#REF!</v>
      </c>
      <c r="G226" s="25">
        <f>G227</f>
        <v>946.2</v>
      </c>
      <c r="H226" s="25">
        <f t="shared" si="58"/>
        <v>984</v>
      </c>
      <c r="I226" s="25">
        <f t="shared" si="58"/>
        <v>1023.4</v>
      </c>
    </row>
    <row r="227" spans="1:9" ht="25.5" x14ac:dyDescent="0.25">
      <c r="A227" s="111"/>
      <c r="B227" s="111"/>
      <c r="C227" s="11" t="s">
        <v>246</v>
      </c>
      <c r="D227" s="11"/>
      <c r="E227" s="37" t="s">
        <v>601</v>
      </c>
      <c r="F227" s="22" t="e">
        <f>#REF!</f>
        <v>#REF!</v>
      </c>
      <c r="G227" s="22">
        <v>946.2</v>
      </c>
      <c r="H227" s="22">
        <v>984</v>
      </c>
      <c r="I227" s="22">
        <v>1023.4</v>
      </c>
    </row>
    <row r="228" spans="1:9" ht="26.25" x14ac:dyDescent="0.25">
      <c r="A228" s="111"/>
      <c r="B228" s="111"/>
      <c r="C228" s="11"/>
      <c r="D228" s="1" t="s">
        <v>344</v>
      </c>
      <c r="E228" s="2" t="s">
        <v>345</v>
      </c>
      <c r="F228" s="22"/>
      <c r="G228" s="22">
        <v>897.7</v>
      </c>
      <c r="H228" s="22">
        <v>984</v>
      </c>
      <c r="I228" s="22">
        <v>1023.4</v>
      </c>
    </row>
    <row r="229" spans="1:9" x14ac:dyDescent="0.25">
      <c r="A229" s="111"/>
      <c r="B229" s="111"/>
      <c r="C229" s="11"/>
      <c r="D229" s="1" t="s">
        <v>543</v>
      </c>
      <c r="E229" s="5" t="s">
        <v>544</v>
      </c>
      <c r="F229" s="22"/>
      <c r="G229" s="22">
        <v>48.5</v>
      </c>
      <c r="H229" s="22">
        <v>0</v>
      </c>
      <c r="I229" s="22">
        <v>0</v>
      </c>
    </row>
    <row r="230" spans="1:9" ht="25.5" x14ac:dyDescent="0.25">
      <c r="A230" s="130"/>
      <c r="B230" s="130"/>
      <c r="C230" s="131" t="s">
        <v>346</v>
      </c>
      <c r="D230" s="130"/>
      <c r="E230" s="132" t="s">
        <v>347</v>
      </c>
      <c r="F230" s="22" t="e">
        <f>#REF!</f>
        <v>#REF!</v>
      </c>
      <c r="G230" s="147">
        <f>G231</f>
        <v>271.10000000000002</v>
      </c>
      <c r="H230" s="147">
        <f t="shared" ref="H230:I230" si="59">H231</f>
        <v>650.6</v>
      </c>
      <c r="I230" s="147">
        <f t="shared" si="59"/>
        <v>0</v>
      </c>
    </row>
    <row r="231" spans="1:9" ht="26.25" x14ac:dyDescent="0.25">
      <c r="A231" s="49"/>
      <c r="B231" s="49"/>
      <c r="C231" s="49" t="s">
        <v>619</v>
      </c>
      <c r="D231" s="49"/>
      <c r="E231" s="82" t="s">
        <v>620</v>
      </c>
      <c r="F231" s="51"/>
      <c r="G231" s="51">
        <f>G232</f>
        <v>271.10000000000002</v>
      </c>
      <c r="H231" s="51">
        <f t="shared" ref="H231:I231" si="60">H232</f>
        <v>650.6</v>
      </c>
      <c r="I231" s="51">
        <f t="shared" si="60"/>
        <v>0</v>
      </c>
    </row>
    <row r="232" spans="1:9" ht="51.75" x14ac:dyDescent="0.25">
      <c r="A232" s="52"/>
      <c r="B232" s="52"/>
      <c r="C232" s="52" t="s">
        <v>621</v>
      </c>
      <c r="D232" s="56"/>
      <c r="E232" s="33" t="s">
        <v>622</v>
      </c>
      <c r="F232" s="48"/>
      <c r="G232" s="25">
        <f>G233</f>
        <v>271.10000000000002</v>
      </c>
      <c r="H232" s="25">
        <f>H233</f>
        <v>650.6</v>
      </c>
      <c r="I232" s="25">
        <f>I233</f>
        <v>0</v>
      </c>
    </row>
    <row r="233" spans="1:9" ht="26.25" x14ac:dyDescent="0.25">
      <c r="A233" s="111"/>
      <c r="B233" s="111"/>
      <c r="C233" s="11" t="s">
        <v>623</v>
      </c>
      <c r="D233" s="11"/>
      <c r="E233" s="31" t="s">
        <v>348</v>
      </c>
      <c r="F233" s="48"/>
      <c r="G233" s="72">
        <v>271.10000000000002</v>
      </c>
      <c r="H233" s="72">
        <v>650.6</v>
      </c>
      <c r="I233" s="72">
        <v>0</v>
      </c>
    </row>
    <row r="234" spans="1:9" ht="26.25" x14ac:dyDescent="0.25">
      <c r="A234" s="111"/>
      <c r="B234" s="111"/>
      <c r="C234" s="11"/>
      <c r="D234" s="11" t="s">
        <v>344</v>
      </c>
      <c r="E234" s="5" t="s">
        <v>345</v>
      </c>
      <c r="F234" s="48"/>
      <c r="G234" s="72">
        <v>271.10000000000002</v>
      </c>
      <c r="H234" s="72">
        <v>650.6</v>
      </c>
      <c r="I234" s="72">
        <v>0</v>
      </c>
    </row>
    <row r="235" spans="1:9" ht="38.25" x14ac:dyDescent="0.25">
      <c r="A235" s="130"/>
      <c r="B235" s="130"/>
      <c r="C235" s="131" t="s">
        <v>506</v>
      </c>
      <c r="D235" s="130"/>
      <c r="E235" s="132" t="s">
        <v>507</v>
      </c>
      <c r="F235" s="22" t="e">
        <f>F236+F248</f>
        <v>#REF!</v>
      </c>
      <c r="G235" s="450">
        <f>G236+G248</f>
        <v>4437.0620000000008</v>
      </c>
      <c r="H235" s="147">
        <f>H236+H248</f>
        <v>1375</v>
      </c>
      <c r="I235" s="147">
        <f>I236+I248</f>
        <v>1118</v>
      </c>
    </row>
    <row r="236" spans="1:9" x14ac:dyDescent="0.25">
      <c r="A236" s="52"/>
      <c r="B236" s="52"/>
      <c r="C236" s="52" t="s">
        <v>508</v>
      </c>
      <c r="D236" s="56"/>
      <c r="E236" s="53" t="s">
        <v>509</v>
      </c>
      <c r="F236" s="25" t="e">
        <f>F237+F244+F239+F240+#REF!</f>
        <v>#REF!</v>
      </c>
      <c r="G236" s="442">
        <f>G237+G244+G239</f>
        <v>4437.0620000000008</v>
      </c>
      <c r="H236" s="25">
        <f>H237+H244+H239+H240</f>
        <v>1075</v>
      </c>
      <c r="I236" s="25">
        <f>I237+I244+I239+I240</f>
        <v>1118</v>
      </c>
    </row>
    <row r="237" spans="1:9" x14ac:dyDescent="0.25">
      <c r="A237" s="11"/>
      <c r="B237" s="11"/>
      <c r="C237" s="11" t="s">
        <v>510</v>
      </c>
      <c r="D237" s="11"/>
      <c r="E237" s="5" t="s">
        <v>511</v>
      </c>
      <c r="F237" s="22" t="e">
        <f>#REF!</f>
        <v>#REF!</v>
      </c>
      <c r="G237" s="22">
        <v>537.20000000000005</v>
      </c>
      <c r="H237" s="22">
        <v>559</v>
      </c>
      <c r="I237" s="22">
        <v>581</v>
      </c>
    </row>
    <row r="238" spans="1:9" ht="26.25" x14ac:dyDescent="0.25">
      <c r="A238" s="11"/>
      <c r="B238" s="11"/>
      <c r="C238" s="11"/>
      <c r="D238" s="11" t="s">
        <v>344</v>
      </c>
      <c r="E238" s="5" t="s">
        <v>345</v>
      </c>
      <c r="F238" s="22"/>
      <c r="G238" s="22">
        <v>537.20000000000005</v>
      </c>
      <c r="H238" s="22">
        <v>559</v>
      </c>
      <c r="I238" s="22">
        <v>581</v>
      </c>
    </row>
    <row r="239" spans="1:9" x14ac:dyDescent="0.25">
      <c r="A239" s="11"/>
      <c r="B239" s="11"/>
      <c r="C239" s="11" t="s">
        <v>512</v>
      </c>
      <c r="D239" s="11"/>
      <c r="E239" s="5" t="s">
        <v>513</v>
      </c>
      <c r="F239" s="22">
        <f t="shared" ref="F239" si="61">F240</f>
        <v>0</v>
      </c>
      <c r="G239" s="22">
        <f>G240</f>
        <v>588.79999999999995</v>
      </c>
      <c r="H239" s="22">
        <v>0</v>
      </c>
      <c r="I239" s="22">
        <v>0</v>
      </c>
    </row>
    <row r="240" spans="1:9" ht="26.25" x14ac:dyDescent="0.25">
      <c r="A240" s="11"/>
      <c r="B240" s="11"/>
      <c r="C240" s="11"/>
      <c r="D240" s="11" t="s">
        <v>344</v>
      </c>
      <c r="E240" s="5" t="s">
        <v>345</v>
      </c>
      <c r="F240" s="22">
        <f t="shared" ref="F240:I240" si="62">F241+F242+F243</f>
        <v>0</v>
      </c>
      <c r="G240" s="22">
        <f t="shared" si="62"/>
        <v>588.79999999999995</v>
      </c>
      <c r="H240" s="22">
        <f t="shared" si="62"/>
        <v>0</v>
      </c>
      <c r="I240" s="22">
        <f t="shared" si="62"/>
        <v>0</v>
      </c>
    </row>
    <row r="241" spans="1:9" x14ac:dyDescent="0.25">
      <c r="A241" s="11"/>
      <c r="B241" s="11"/>
      <c r="C241" s="11"/>
      <c r="D241" s="11"/>
      <c r="E241" s="15" t="s">
        <v>514</v>
      </c>
      <c r="F241" s="22"/>
      <c r="G241" s="22">
        <v>0</v>
      </c>
      <c r="H241" s="22">
        <v>0</v>
      </c>
      <c r="I241" s="22">
        <v>0</v>
      </c>
    </row>
    <row r="242" spans="1:9" x14ac:dyDescent="0.25">
      <c r="A242" s="11"/>
      <c r="B242" s="11"/>
      <c r="C242" s="11"/>
      <c r="D242" s="11"/>
      <c r="E242" s="15" t="s">
        <v>255</v>
      </c>
      <c r="F242" s="22"/>
      <c r="G242" s="22">
        <v>0</v>
      </c>
      <c r="H242" s="22">
        <v>0</v>
      </c>
      <c r="I242" s="22">
        <v>0</v>
      </c>
    </row>
    <row r="243" spans="1:9" x14ac:dyDescent="0.25">
      <c r="A243" s="11"/>
      <c r="B243" s="11"/>
      <c r="C243" s="11"/>
      <c r="D243" s="11"/>
      <c r="E243" s="5" t="s">
        <v>515</v>
      </c>
      <c r="F243" s="22"/>
      <c r="G243" s="22">
        <v>588.79999999999995</v>
      </c>
      <c r="H243" s="22">
        <v>0</v>
      </c>
      <c r="I243" s="22">
        <v>0</v>
      </c>
    </row>
    <row r="244" spans="1:9" ht="25.5" x14ac:dyDescent="0.25">
      <c r="A244" s="11"/>
      <c r="B244" s="11"/>
      <c r="C244" s="11" t="s">
        <v>516</v>
      </c>
      <c r="D244" s="11"/>
      <c r="E244" s="3" t="s">
        <v>1390</v>
      </c>
      <c r="F244" s="22" t="e">
        <f>#REF!</f>
        <v>#REF!</v>
      </c>
      <c r="G244" s="439">
        <f>G245</f>
        <v>3311.0620000000004</v>
      </c>
      <c r="H244" s="22">
        <f>H246+H247</f>
        <v>516</v>
      </c>
      <c r="I244" s="22">
        <f>I246+I247</f>
        <v>537</v>
      </c>
    </row>
    <row r="245" spans="1:9" ht="26.25" x14ac:dyDescent="0.25">
      <c r="A245" s="11"/>
      <c r="B245" s="11"/>
      <c r="C245" s="11"/>
      <c r="D245" s="11" t="s">
        <v>344</v>
      </c>
      <c r="E245" s="5" t="s">
        <v>345</v>
      </c>
      <c r="F245" s="22"/>
      <c r="G245" s="439">
        <f>G246+G247</f>
        <v>3311.0620000000004</v>
      </c>
      <c r="H245" s="22">
        <v>516</v>
      </c>
      <c r="I245" s="22">
        <v>537</v>
      </c>
    </row>
    <row r="246" spans="1:9" x14ac:dyDescent="0.25">
      <c r="A246" s="11"/>
      <c r="B246" s="11"/>
      <c r="C246" s="11"/>
      <c r="D246" s="11"/>
      <c r="E246" s="15" t="s">
        <v>255</v>
      </c>
      <c r="F246" s="22">
        <v>2814.4</v>
      </c>
      <c r="G246" s="439">
        <v>2814.4030000000002</v>
      </c>
      <c r="H246" s="22">
        <v>0</v>
      </c>
      <c r="I246" s="22">
        <v>0</v>
      </c>
    </row>
    <row r="247" spans="1:9" x14ac:dyDescent="0.25">
      <c r="A247" s="11"/>
      <c r="B247" s="11"/>
      <c r="C247" s="11"/>
      <c r="D247" s="11"/>
      <c r="E247" s="5" t="s">
        <v>515</v>
      </c>
      <c r="F247" s="22">
        <v>496.7</v>
      </c>
      <c r="G247" s="439">
        <v>496.65899999999999</v>
      </c>
      <c r="H247" s="22">
        <v>516</v>
      </c>
      <c r="I247" s="22">
        <v>537</v>
      </c>
    </row>
    <row r="248" spans="1:9" ht="39" x14ac:dyDescent="0.25">
      <c r="A248" s="52"/>
      <c r="B248" s="52"/>
      <c r="C248" s="52" t="s">
        <v>519</v>
      </c>
      <c r="D248" s="56"/>
      <c r="E248" s="53" t="s">
        <v>520</v>
      </c>
      <c r="F248" s="25" t="e">
        <f t="shared" ref="F248:I248" si="63">F249</f>
        <v>#REF!</v>
      </c>
      <c r="G248" s="25">
        <f t="shared" si="63"/>
        <v>0</v>
      </c>
      <c r="H248" s="25">
        <f t="shared" si="63"/>
        <v>300</v>
      </c>
      <c r="I248" s="25">
        <f t="shared" si="63"/>
        <v>0</v>
      </c>
    </row>
    <row r="249" spans="1:9" ht="39" x14ac:dyDescent="0.25">
      <c r="A249" s="111"/>
      <c r="B249" s="111"/>
      <c r="C249" s="11" t="s">
        <v>521</v>
      </c>
      <c r="D249" s="11"/>
      <c r="E249" s="5" t="s">
        <v>522</v>
      </c>
      <c r="F249" s="22" t="e">
        <f>#REF!</f>
        <v>#REF!</v>
      </c>
      <c r="G249" s="22">
        <f>1800-1800</f>
        <v>0</v>
      </c>
      <c r="H249" s="22">
        <v>300</v>
      </c>
      <c r="I249" s="22">
        <v>0</v>
      </c>
    </row>
    <row r="250" spans="1:9" ht="26.25" x14ac:dyDescent="0.25">
      <c r="A250" s="111"/>
      <c r="B250" s="111"/>
      <c r="C250" s="11"/>
      <c r="D250" s="11" t="s">
        <v>344</v>
      </c>
      <c r="E250" s="5" t="s">
        <v>345</v>
      </c>
      <c r="F250" s="22"/>
      <c r="G250" s="22">
        <v>0</v>
      </c>
      <c r="H250" s="22">
        <v>300</v>
      </c>
      <c r="I250" s="22">
        <v>0</v>
      </c>
    </row>
    <row r="251" spans="1:9" s="67" customFormat="1" ht="38.25" x14ac:dyDescent="0.25">
      <c r="A251" s="119"/>
      <c r="B251" s="119"/>
      <c r="C251" s="116" t="s">
        <v>539</v>
      </c>
      <c r="D251" s="27"/>
      <c r="E251" s="117" t="s">
        <v>540</v>
      </c>
      <c r="F251" s="45"/>
      <c r="G251" s="45">
        <f>G252</f>
        <v>2894.5</v>
      </c>
      <c r="H251" s="45">
        <f t="shared" ref="H251:I251" si="64">H252</f>
        <v>2894.5</v>
      </c>
      <c r="I251" s="45">
        <f t="shared" si="64"/>
        <v>2894.5</v>
      </c>
    </row>
    <row r="252" spans="1:9" ht="26.25" x14ac:dyDescent="0.25">
      <c r="A252" s="111"/>
      <c r="B252" s="111"/>
      <c r="C252" s="11" t="s">
        <v>541</v>
      </c>
      <c r="D252" s="11"/>
      <c r="E252" s="5" t="s">
        <v>542</v>
      </c>
      <c r="F252" s="22">
        <f>F253+F254+F255</f>
        <v>2756.6000000000004</v>
      </c>
      <c r="G252" s="22">
        <f>G253+G254+G255</f>
        <v>2894.5</v>
      </c>
      <c r="H252" s="22">
        <f>H253+H254+H255</f>
        <v>2894.5</v>
      </c>
      <c r="I252" s="22">
        <f>I253+I254+I255</f>
        <v>2894.5</v>
      </c>
    </row>
    <row r="253" spans="1:9" ht="51.75" x14ac:dyDescent="0.25">
      <c r="A253" s="111"/>
      <c r="B253" s="111"/>
      <c r="C253" s="20"/>
      <c r="D253" s="11" t="s">
        <v>535</v>
      </c>
      <c r="E253" s="5" t="s">
        <v>536</v>
      </c>
      <c r="F253" s="22">
        <v>2517.3000000000002</v>
      </c>
      <c r="G253" s="22">
        <v>2685.8</v>
      </c>
      <c r="H253" s="22">
        <v>2685.8</v>
      </c>
      <c r="I253" s="22">
        <v>2685.8</v>
      </c>
    </row>
    <row r="254" spans="1:9" ht="26.25" x14ac:dyDescent="0.25">
      <c r="A254" s="111"/>
      <c r="B254" s="111"/>
      <c r="C254" s="20"/>
      <c r="D254" s="11" t="s">
        <v>344</v>
      </c>
      <c r="E254" s="5" t="s">
        <v>345</v>
      </c>
      <c r="F254" s="22">
        <v>159</v>
      </c>
      <c r="G254" s="22">
        <f>95.7-5.5</f>
        <v>90.2</v>
      </c>
      <c r="H254" s="22">
        <f>99.4-9.2</f>
        <v>90.2</v>
      </c>
      <c r="I254" s="22">
        <f>103.4-13.2</f>
        <v>90.2</v>
      </c>
    </row>
    <row r="255" spans="1:9" x14ac:dyDescent="0.25">
      <c r="A255" s="111"/>
      <c r="B255" s="111"/>
      <c r="C255" s="20"/>
      <c r="D255" s="26" t="s">
        <v>543</v>
      </c>
      <c r="E255" s="12" t="s">
        <v>544</v>
      </c>
      <c r="F255" s="22">
        <v>80.3</v>
      </c>
      <c r="G255" s="22">
        <v>118.5</v>
      </c>
      <c r="H255" s="22">
        <v>118.5</v>
      </c>
      <c r="I255" s="22">
        <v>118.5</v>
      </c>
    </row>
    <row r="256" spans="1:9" x14ac:dyDescent="0.25">
      <c r="A256" s="115"/>
      <c r="B256" s="27" t="s">
        <v>706</v>
      </c>
      <c r="C256" s="116"/>
      <c r="D256" s="115"/>
      <c r="E256" s="117" t="s">
        <v>707</v>
      </c>
      <c r="F256" s="22"/>
      <c r="G256" s="45">
        <f>G257+G281+G329+G374</f>
        <v>50426.719499999992</v>
      </c>
      <c r="H256" s="45">
        <f>H257+H281+H329+H374</f>
        <v>53781.510999999999</v>
      </c>
      <c r="I256" s="45">
        <f>I257+I281+I329+I374</f>
        <v>65042.532000000007</v>
      </c>
    </row>
    <row r="257" spans="1:9" x14ac:dyDescent="0.25">
      <c r="A257" s="115"/>
      <c r="B257" s="27" t="s">
        <v>708</v>
      </c>
      <c r="C257" s="116"/>
      <c r="D257" s="115"/>
      <c r="E257" s="117" t="s">
        <v>709</v>
      </c>
      <c r="F257" s="22"/>
      <c r="G257" s="45">
        <f>G258</f>
        <v>2108.6999999999998</v>
      </c>
      <c r="H257" s="45">
        <f t="shared" ref="H257:I257" si="65">H258</f>
        <v>1834.3999999999999</v>
      </c>
      <c r="I257" s="45">
        <f t="shared" si="65"/>
        <v>13560.56</v>
      </c>
    </row>
    <row r="258" spans="1:9" ht="25.5" x14ac:dyDescent="0.25">
      <c r="A258" s="115"/>
      <c r="B258" s="27"/>
      <c r="C258" s="116" t="s">
        <v>6</v>
      </c>
      <c r="D258" s="115"/>
      <c r="E258" s="122" t="s">
        <v>7</v>
      </c>
      <c r="F258" s="22"/>
      <c r="G258" s="45">
        <f>G259+G263+G273</f>
        <v>2108.6999999999998</v>
      </c>
      <c r="H258" s="45">
        <f>H259+H263+H273</f>
        <v>1834.3999999999999</v>
      </c>
      <c r="I258" s="45">
        <f>I259+I263+I273</f>
        <v>13560.56</v>
      </c>
    </row>
    <row r="259" spans="1:9" ht="25.5" x14ac:dyDescent="0.25">
      <c r="A259" s="129"/>
      <c r="B259" s="130"/>
      <c r="C259" s="131" t="s">
        <v>218</v>
      </c>
      <c r="D259" s="130"/>
      <c r="E259" s="132" t="s">
        <v>219</v>
      </c>
      <c r="F259" s="22"/>
      <c r="G259" s="147">
        <f>G260</f>
        <v>64.2</v>
      </c>
      <c r="H259" s="147">
        <f t="shared" ref="H259:I259" si="66">H260</f>
        <v>0</v>
      </c>
      <c r="I259" s="147">
        <f t="shared" si="66"/>
        <v>0</v>
      </c>
    </row>
    <row r="260" spans="1:9" ht="39" x14ac:dyDescent="0.25">
      <c r="A260" s="52"/>
      <c r="B260" s="52"/>
      <c r="C260" s="52" t="s">
        <v>240</v>
      </c>
      <c r="D260" s="52"/>
      <c r="E260" s="53" t="s">
        <v>1392</v>
      </c>
      <c r="F260" s="25">
        <f t="shared" ref="F260:I260" si="67">F261</f>
        <v>0</v>
      </c>
      <c r="G260" s="25">
        <f t="shared" si="67"/>
        <v>64.2</v>
      </c>
      <c r="H260" s="25">
        <f t="shared" si="67"/>
        <v>0</v>
      </c>
      <c r="I260" s="25">
        <f t="shared" si="67"/>
        <v>0</v>
      </c>
    </row>
    <row r="261" spans="1:9" s="62" customFormat="1" ht="26.25" x14ac:dyDescent="0.25">
      <c r="A261" s="112"/>
      <c r="B261" s="112"/>
      <c r="C261" s="11" t="s">
        <v>241</v>
      </c>
      <c r="D261" s="20"/>
      <c r="E261" s="5" t="s">
        <v>1391</v>
      </c>
      <c r="F261" s="22">
        <v>0</v>
      </c>
      <c r="G261" s="22">
        <v>64.2</v>
      </c>
      <c r="H261" s="22">
        <v>0</v>
      </c>
      <c r="I261" s="22">
        <v>0</v>
      </c>
    </row>
    <row r="262" spans="1:9" s="62" customFormat="1" ht="26.25" x14ac:dyDescent="0.25">
      <c r="A262" s="112"/>
      <c r="B262" s="112"/>
      <c r="C262" s="11"/>
      <c r="D262" s="1" t="s">
        <v>344</v>
      </c>
      <c r="E262" s="2" t="s">
        <v>345</v>
      </c>
      <c r="F262" s="22"/>
      <c r="G262" s="22">
        <v>64.2</v>
      </c>
      <c r="H262" s="22">
        <v>0</v>
      </c>
      <c r="I262" s="22">
        <v>0</v>
      </c>
    </row>
    <row r="263" spans="1:9" ht="25.5" x14ac:dyDescent="0.25">
      <c r="A263" s="129"/>
      <c r="B263" s="130"/>
      <c r="C263" s="131" t="s">
        <v>242</v>
      </c>
      <c r="D263" s="130"/>
      <c r="E263" s="132" t="s">
        <v>243</v>
      </c>
      <c r="F263" s="22"/>
      <c r="G263" s="147">
        <f>G264</f>
        <v>2044.5</v>
      </c>
      <c r="H263" s="147">
        <f t="shared" ref="H263:I263" si="68">H264</f>
        <v>1834.3999999999999</v>
      </c>
      <c r="I263" s="147">
        <f t="shared" si="68"/>
        <v>1907.7600000000002</v>
      </c>
    </row>
    <row r="264" spans="1:9" ht="26.25" x14ac:dyDescent="0.25">
      <c r="A264" s="52"/>
      <c r="B264" s="52"/>
      <c r="C264" s="52" t="s">
        <v>244</v>
      </c>
      <c r="D264" s="52"/>
      <c r="E264" s="53" t="s">
        <v>710</v>
      </c>
      <c r="F264" s="25"/>
      <c r="G264" s="25">
        <f>G265+G267+G269+G271</f>
        <v>2044.5</v>
      </c>
      <c r="H264" s="25">
        <f>H265+H267+H269+H271</f>
        <v>1834.3999999999999</v>
      </c>
      <c r="I264" s="25">
        <f>I265+I267+I269+I271</f>
        <v>1907.7600000000002</v>
      </c>
    </row>
    <row r="265" spans="1:9" ht="39" x14ac:dyDescent="0.25">
      <c r="A265" s="111"/>
      <c r="B265" s="111"/>
      <c r="C265" s="11" t="s">
        <v>247</v>
      </c>
      <c r="D265" s="11"/>
      <c r="E265" s="21" t="s">
        <v>248</v>
      </c>
      <c r="F265" s="22" t="e">
        <f>#REF!</f>
        <v>#REF!</v>
      </c>
      <c r="G265" s="22">
        <v>129.69999999999999</v>
      </c>
      <c r="H265" s="22">
        <v>134.9</v>
      </c>
      <c r="I265" s="22">
        <v>140.26</v>
      </c>
    </row>
    <row r="266" spans="1:9" ht="26.25" x14ac:dyDescent="0.25">
      <c r="A266" s="111"/>
      <c r="B266" s="111"/>
      <c r="C266" s="11"/>
      <c r="D266" s="1" t="s">
        <v>344</v>
      </c>
      <c r="E266" s="2" t="s">
        <v>345</v>
      </c>
      <c r="F266" s="22"/>
      <c r="G266" s="22">
        <v>129.69999999999999</v>
      </c>
      <c r="H266" s="22">
        <v>134.9</v>
      </c>
      <c r="I266" s="22">
        <v>140.26</v>
      </c>
    </row>
    <row r="267" spans="1:9" ht="26.25" x14ac:dyDescent="0.25">
      <c r="A267" s="111"/>
      <c r="B267" s="111"/>
      <c r="C267" s="11" t="s">
        <v>249</v>
      </c>
      <c r="D267" s="11"/>
      <c r="E267" s="21" t="s">
        <v>250</v>
      </c>
      <c r="F267" s="22" t="e">
        <f>#REF!+#REF!</f>
        <v>#REF!</v>
      </c>
      <c r="G267" s="22">
        <v>1123</v>
      </c>
      <c r="H267" s="22">
        <v>876</v>
      </c>
      <c r="I267" s="22">
        <v>911.1</v>
      </c>
    </row>
    <row r="268" spans="1:9" ht="26.25" x14ac:dyDescent="0.25">
      <c r="A268" s="111"/>
      <c r="B268" s="111"/>
      <c r="C268" s="11"/>
      <c r="D268" s="1" t="s">
        <v>344</v>
      </c>
      <c r="E268" s="2" t="s">
        <v>345</v>
      </c>
      <c r="F268" s="22"/>
      <c r="G268" s="22">
        <v>1123</v>
      </c>
      <c r="H268" s="22">
        <v>876</v>
      </c>
      <c r="I268" s="22">
        <v>911.1</v>
      </c>
    </row>
    <row r="269" spans="1:9" ht="26.25" x14ac:dyDescent="0.25">
      <c r="A269" s="111"/>
      <c r="B269" s="111"/>
      <c r="C269" s="11" t="s">
        <v>251</v>
      </c>
      <c r="D269" s="11"/>
      <c r="E269" s="5" t="s">
        <v>252</v>
      </c>
      <c r="F269" s="22" t="e">
        <f>#REF!</f>
        <v>#REF!</v>
      </c>
      <c r="G269" s="22">
        <v>64.099999999999994</v>
      </c>
      <c r="H269" s="22">
        <v>66.7</v>
      </c>
      <c r="I269" s="22">
        <v>69.3</v>
      </c>
    </row>
    <row r="270" spans="1:9" ht="26.25" x14ac:dyDescent="0.25">
      <c r="A270" s="111"/>
      <c r="B270" s="111"/>
      <c r="C270" s="11"/>
      <c r="D270" s="1" t="s">
        <v>344</v>
      </c>
      <c r="E270" s="2" t="s">
        <v>345</v>
      </c>
      <c r="F270" s="22"/>
      <c r="G270" s="22">
        <v>64.099999999999994</v>
      </c>
      <c r="H270" s="22">
        <v>66.7</v>
      </c>
      <c r="I270" s="22">
        <v>69.3</v>
      </c>
    </row>
    <row r="271" spans="1:9" ht="39" x14ac:dyDescent="0.25">
      <c r="A271" s="111"/>
      <c r="B271" s="111"/>
      <c r="C271" s="11" t="s">
        <v>253</v>
      </c>
      <c r="D271" s="11"/>
      <c r="E271" s="5" t="s">
        <v>254</v>
      </c>
      <c r="F271" s="22" t="e">
        <f>#REF!</f>
        <v>#REF!</v>
      </c>
      <c r="G271" s="22">
        <v>727.7</v>
      </c>
      <c r="H271" s="22">
        <v>756.8</v>
      </c>
      <c r="I271" s="22">
        <v>787.1</v>
      </c>
    </row>
    <row r="272" spans="1:9" ht="26.25" x14ac:dyDescent="0.25">
      <c r="A272" s="111"/>
      <c r="B272" s="111"/>
      <c r="C272" s="11"/>
      <c r="D272" s="1" t="s">
        <v>344</v>
      </c>
      <c r="E272" s="2" t="s">
        <v>345</v>
      </c>
      <c r="F272" s="22"/>
      <c r="G272" s="22">
        <v>727.7</v>
      </c>
      <c r="H272" s="22">
        <v>756.8</v>
      </c>
      <c r="I272" s="22">
        <v>787.1</v>
      </c>
    </row>
    <row r="273" spans="1:11" ht="38.25" x14ac:dyDescent="0.25">
      <c r="A273" s="129"/>
      <c r="B273" s="130"/>
      <c r="C273" s="131" t="s">
        <v>500</v>
      </c>
      <c r="D273" s="130"/>
      <c r="E273" s="132" t="s">
        <v>501</v>
      </c>
      <c r="F273" s="22" t="e">
        <f t="shared" ref="F273:I275" si="69">F274</f>
        <v>#REF!</v>
      </c>
      <c r="G273" s="147">
        <f t="shared" si="69"/>
        <v>0</v>
      </c>
      <c r="H273" s="147">
        <f t="shared" si="69"/>
        <v>0</v>
      </c>
      <c r="I273" s="147">
        <f t="shared" si="69"/>
        <v>11652.8</v>
      </c>
    </row>
    <row r="274" spans="1:11" ht="39" x14ac:dyDescent="0.25">
      <c r="A274" s="49"/>
      <c r="B274" s="49"/>
      <c r="C274" s="49" t="s">
        <v>502</v>
      </c>
      <c r="D274" s="69"/>
      <c r="E274" s="50" t="s">
        <v>503</v>
      </c>
      <c r="F274" s="51" t="e">
        <f t="shared" si="69"/>
        <v>#REF!</v>
      </c>
      <c r="G274" s="51">
        <f t="shared" si="69"/>
        <v>0</v>
      </c>
      <c r="H274" s="51">
        <f t="shared" si="69"/>
        <v>0</v>
      </c>
      <c r="I274" s="51">
        <f t="shared" si="69"/>
        <v>11652.8</v>
      </c>
    </row>
    <row r="275" spans="1:11" ht="48.75" customHeight="1" x14ac:dyDescent="0.25">
      <c r="A275" s="52"/>
      <c r="B275" s="52"/>
      <c r="C275" s="52" t="s">
        <v>657</v>
      </c>
      <c r="D275" s="56"/>
      <c r="E275" s="53" t="s">
        <v>504</v>
      </c>
      <c r="F275" s="92" t="e">
        <f t="shared" si="69"/>
        <v>#REF!</v>
      </c>
      <c r="G275" s="92">
        <f t="shared" si="69"/>
        <v>0</v>
      </c>
      <c r="H275" s="92">
        <f t="shared" si="69"/>
        <v>0</v>
      </c>
      <c r="I275" s="92">
        <f>I276</f>
        <v>11652.8</v>
      </c>
    </row>
    <row r="276" spans="1:11" ht="39" x14ac:dyDescent="0.25">
      <c r="A276" s="111"/>
      <c r="B276" s="111"/>
      <c r="C276" s="11" t="s">
        <v>656</v>
      </c>
      <c r="D276" s="11"/>
      <c r="E276" s="5" t="s">
        <v>505</v>
      </c>
      <c r="F276" s="22" t="e">
        <f>#REF!</f>
        <v>#REF!</v>
      </c>
      <c r="G276" s="22">
        <v>0</v>
      </c>
      <c r="H276" s="22">
        <v>0</v>
      </c>
      <c r="I276" s="22">
        <v>11652.8</v>
      </c>
    </row>
    <row r="277" spans="1:11" x14ac:dyDescent="0.25">
      <c r="A277" s="111"/>
      <c r="B277" s="111"/>
      <c r="C277" s="11"/>
      <c r="D277" s="1" t="s">
        <v>564</v>
      </c>
      <c r="E277" s="2" t="s">
        <v>565</v>
      </c>
      <c r="F277" s="22"/>
      <c r="G277" s="22">
        <v>0</v>
      </c>
      <c r="H277" s="22">
        <v>0</v>
      </c>
      <c r="I277" s="22">
        <v>2693.1</v>
      </c>
    </row>
    <row r="278" spans="1:11" x14ac:dyDescent="0.25">
      <c r="A278" s="111"/>
      <c r="B278" s="111"/>
      <c r="C278" s="11"/>
      <c r="D278" s="11"/>
      <c r="E278" s="15" t="s">
        <v>121</v>
      </c>
      <c r="F278" s="22">
        <v>0</v>
      </c>
      <c r="G278" s="22">
        <v>0</v>
      </c>
      <c r="H278" s="22">
        <v>0</v>
      </c>
      <c r="I278" s="22">
        <v>2693.1</v>
      </c>
    </row>
    <row r="279" spans="1:11" ht="26.25" x14ac:dyDescent="0.25">
      <c r="A279" s="111"/>
      <c r="B279" s="111"/>
      <c r="C279" s="11"/>
      <c r="D279" s="1" t="s">
        <v>371</v>
      </c>
      <c r="E279" s="2" t="s">
        <v>372</v>
      </c>
      <c r="F279" s="22"/>
      <c r="G279" s="22">
        <v>0</v>
      </c>
      <c r="H279" s="22">
        <v>0</v>
      </c>
      <c r="I279" s="22">
        <v>8959.7000000000007</v>
      </c>
    </row>
    <row r="280" spans="1:11" x14ac:dyDescent="0.25">
      <c r="A280" s="111"/>
      <c r="B280" s="111"/>
      <c r="C280" s="11"/>
      <c r="D280" s="11"/>
      <c r="E280" s="15" t="s">
        <v>121</v>
      </c>
      <c r="F280" s="22">
        <v>0</v>
      </c>
      <c r="G280" s="22">
        <v>0</v>
      </c>
      <c r="H280" s="22">
        <v>0</v>
      </c>
      <c r="I280" s="22">
        <v>8959.7000000000007</v>
      </c>
    </row>
    <row r="281" spans="1:11" x14ac:dyDescent="0.25">
      <c r="A281" s="115"/>
      <c r="B281" s="27" t="s">
        <v>711</v>
      </c>
      <c r="C281" s="116"/>
      <c r="D281" s="115"/>
      <c r="E281" s="117" t="s">
        <v>712</v>
      </c>
      <c r="F281" s="22"/>
      <c r="G281" s="45">
        <f>G282+G325</f>
        <v>9921.7999999999993</v>
      </c>
      <c r="H281" s="45">
        <f>H282+H325</f>
        <v>9563.5999999999985</v>
      </c>
      <c r="I281" s="45">
        <f>I282+I325</f>
        <v>3939.8999999999996</v>
      </c>
    </row>
    <row r="282" spans="1:11" ht="25.5" x14ac:dyDescent="0.25">
      <c r="A282" s="115"/>
      <c r="B282" s="26"/>
      <c r="C282" s="116" t="s">
        <v>6</v>
      </c>
      <c r="D282" s="115"/>
      <c r="E282" s="122" t="s">
        <v>7</v>
      </c>
      <c r="F282" s="22"/>
      <c r="G282" s="45">
        <f>G283</f>
        <v>8942.2999999999993</v>
      </c>
      <c r="H282" s="45">
        <f t="shared" ref="H282:I282" si="70">H283</f>
        <v>9563.5999999999985</v>
      </c>
      <c r="I282" s="45">
        <f t="shared" si="70"/>
        <v>3939.8999999999996</v>
      </c>
    </row>
    <row r="283" spans="1:11" ht="25.5" x14ac:dyDescent="0.25">
      <c r="A283" s="129"/>
      <c r="B283" s="130"/>
      <c r="C283" s="131" t="s">
        <v>354</v>
      </c>
      <c r="D283" s="130"/>
      <c r="E283" s="132" t="s">
        <v>355</v>
      </c>
      <c r="F283" s="22" t="e">
        <f>F284+F300+F305+#REF!</f>
        <v>#REF!</v>
      </c>
      <c r="G283" s="147">
        <f>G284+G300+G305</f>
        <v>8942.2999999999993</v>
      </c>
      <c r="H283" s="147">
        <f>H284+H300+H305</f>
        <v>9563.5999999999985</v>
      </c>
      <c r="I283" s="147">
        <f>I284+I300+I305</f>
        <v>3939.8999999999996</v>
      </c>
      <c r="K283" s="63"/>
    </row>
    <row r="284" spans="1:11" x14ac:dyDescent="0.25">
      <c r="A284" s="49"/>
      <c r="B284" s="49"/>
      <c r="C284" s="49" t="s">
        <v>356</v>
      </c>
      <c r="D284" s="49"/>
      <c r="E284" s="82" t="s">
        <v>357</v>
      </c>
      <c r="F284" s="51" t="e">
        <f>#REF!+F285</f>
        <v>#REF!</v>
      </c>
      <c r="G284" s="51">
        <f>G285</f>
        <v>1698.3</v>
      </c>
      <c r="H284" s="51">
        <f t="shared" ref="H284:I284" si="71">H285</f>
        <v>0</v>
      </c>
      <c r="I284" s="51">
        <f t="shared" si="71"/>
        <v>0</v>
      </c>
      <c r="K284" s="63"/>
    </row>
    <row r="285" spans="1:11" ht="26.25" x14ac:dyDescent="0.25">
      <c r="A285" s="52"/>
      <c r="B285" s="52"/>
      <c r="C285" s="52" t="s">
        <v>365</v>
      </c>
      <c r="D285" s="56"/>
      <c r="E285" s="33" t="s">
        <v>366</v>
      </c>
      <c r="F285" s="86" t="e">
        <f>F288+F294</f>
        <v>#REF!</v>
      </c>
      <c r="G285" s="86">
        <f>G288+G294</f>
        <v>1698.3</v>
      </c>
      <c r="H285" s="86">
        <f>H288+H294</f>
        <v>0</v>
      </c>
      <c r="I285" s="86">
        <f>I288+I294</f>
        <v>0</v>
      </c>
      <c r="J285" s="85"/>
    </row>
    <row r="286" spans="1:11" s="62" customFormat="1" ht="26.25" x14ac:dyDescent="0.25">
      <c r="A286" s="112"/>
      <c r="B286" s="112"/>
      <c r="C286" s="11" t="s">
        <v>367</v>
      </c>
      <c r="D286" s="11"/>
      <c r="E286" s="31" t="s">
        <v>360</v>
      </c>
      <c r="F286" s="22" t="e">
        <f>F288+F294</f>
        <v>#REF!</v>
      </c>
      <c r="G286" s="22">
        <f>G288+G294</f>
        <v>1698.3</v>
      </c>
      <c r="H286" s="22">
        <f>H288+H294</f>
        <v>0</v>
      </c>
      <c r="I286" s="22">
        <f>I288+I294</f>
        <v>0</v>
      </c>
      <c r="J286" s="87"/>
    </row>
    <row r="287" spans="1:11" s="62" customFormat="1" x14ac:dyDescent="0.25">
      <c r="A287" s="112"/>
      <c r="B287" s="112"/>
      <c r="C287" s="11"/>
      <c r="D287" s="11"/>
      <c r="E287" s="31" t="s">
        <v>291</v>
      </c>
      <c r="F287" s="22"/>
      <c r="G287" s="22"/>
      <c r="H287" s="22"/>
      <c r="I287" s="22"/>
      <c r="J287" s="87"/>
    </row>
    <row r="288" spans="1:11" x14ac:dyDescent="0.25">
      <c r="A288" s="111"/>
      <c r="B288" s="111"/>
      <c r="C288" s="11" t="s">
        <v>633</v>
      </c>
      <c r="D288" s="11"/>
      <c r="E288" s="83" t="s">
        <v>368</v>
      </c>
      <c r="F288" s="19" t="e">
        <f>#REF!</f>
        <v>#REF!</v>
      </c>
      <c r="G288" s="19">
        <f>G290+G291+G292+G293</f>
        <v>1428</v>
      </c>
      <c r="H288" s="19">
        <v>0</v>
      </c>
      <c r="I288" s="19">
        <v>0</v>
      </c>
      <c r="J288" s="85"/>
    </row>
    <row r="289" spans="1:10" ht="26.25" x14ac:dyDescent="0.25">
      <c r="A289" s="111"/>
      <c r="B289" s="111"/>
      <c r="C289" s="11"/>
      <c r="D289" s="1" t="s">
        <v>371</v>
      </c>
      <c r="E289" s="2" t="s">
        <v>372</v>
      </c>
      <c r="F289" s="19"/>
      <c r="G289" s="19">
        <v>1428</v>
      </c>
      <c r="H289" s="19">
        <v>0</v>
      </c>
      <c r="I289" s="19">
        <v>0</v>
      </c>
      <c r="J289" s="85"/>
    </row>
    <row r="290" spans="1:10" x14ac:dyDescent="0.25">
      <c r="A290" s="111"/>
      <c r="B290" s="111"/>
      <c r="C290" s="11"/>
      <c r="D290" s="11"/>
      <c r="E290" s="84" t="s">
        <v>187</v>
      </c>
      <c r="F290" s="22"/>
      <c r="G290" s="22">
        <v>0</v>
      </c>
      <c r="H290" s="22">
        <v>0</v>
      </c>
      <c r="I290" s="22">
        <v>0</v>
      </c>
      <c r="J290" s="85"/>
    </row>
    <row r="291" spans="1:10" x14ac:dyDescent="0.25">
      <c r="A291" s="111"/>
      <c r="B291" s="111"/>
      <c r="C291" s="11"/>
      <c r="D291" s="11"/>
      <c r="E291" s="84" t="s">
        <v>255</v>
      </c>
      <c r="F291" s="22"/>
      <c r="G291" s="22">
        <v>0</v>
      </c>
      <c r="H291" s="22">
        <v>0</v>
      </c>
      <c r="I291" s="22">
        <v>0</v>
      </c>
      <c r="J291" s="85"/>
    </row>
    <row r="292" spans="1:10" x14ac:dyDescent="0.25">
      <c r="A292" s="111"/>
      <c r="B292" s="111"/>
      <c r="C292" s="11"/>
      <c r="D292" s="11"/>
      <c r="E292" s="84" t="s">
        <v>362</v>
      </c>
      <c r="F292" s="72">
        <v>1420.9</v>
      </c>
      <c r="G292" s="72">
        <v>1428</v>
      </c>
      <c r="H292" s="72">
        <v>0</v>
      </c>
      <c r="I292" s="72">
        <v>0</v>
      </c>
      <c r="J292" s="85"/>
    </row>
    <row r="293" spans="1:10" x14ac:dyDescent="0.25">
      <c r="A293" s="111"/>
      <c r="B293" s="111"/>
      <c r="C293" s="11"/>
      <c r="D293" s="11"/>
      <c r="E293" s="84" t="s">
        <v>369</v>
      </c>
      <c r="F293" s="22"/>
      <c r="G293" s="22">
        <v>0</v>
      </c>
      <c r="H293" s="22">
        <v>0</v>
      </c>
      <c r="I293" s="22">
        <v>0</v>
      </c>
      <c r="J293" s="85"/>
    </row>
    <row r="294" spans="1:10" ht="39" x14ac:dyDescent="0.25">
      <c r="A294" s="111"/>
      <c r="B294" s="111"/>
      <c r="C294" s="11" t="s">
        <v>634</v>
      </c>
      <c r="D294" s="11"/>
      <c r="E294" s="83" t="s">
        <v>370</v>
      </c>
      <c r="F294" s="19">
        <f>F295</f>
        <v>260.60000000000002</v>
      </c>
      <c r="G294" s="19">
        <f>G295</f>
        <v>270.3</v>
      </c>
      <c r="H294" s="19">
        <f>H295</f>
        <v>0</v>
      </c>
      <c r="I294" s="19">
        <f>I295</f>
        <v>0</v>
      </c>
      <c r="J294" s="85"/>
    </row>
    <row r="295" spans="1:10" ht="26.25" x14ac:dyDescent="0.25">
      <c r="A295" s="111"/>
      <c r="B295" s="111"/>
      <c r="C295" s="11"/>
      <c r="D295" s="11" t="s">
        <v>371</v>
      </c>
      <c r="E295" s="5" t="s">
        <v>372</v>
      </c>
      <c r="F295" s="22">
        <f>F298</f>
        <v>260.60000000000002</v>
      </c>
      <c r="G295" s="22">
        <f>G296+G297+G298+G299</f>
        <v>270.3</v>
      </c>
      <c r="H295" s="22">
        <v>0</v>
      </c>
      <c r="I295" s="22">
        <v>0</v>
      </c>
      <c r="J295" s="85"/>
    </row>
    <row r="296" spans="1:10" x14ac:dyDescent="0.25">
      <c r="A296" s="111"/>
      <c r="B296" s="111"/>
      <c r="C296" s="11"/>
      <c r="D296" s="11"/>
      <c r="E296" s="84" t="s">
        <v>187</v>
      </c>
      <c r="F296" s="22"/>
      <c r="G296" s="22">
        <v>0</v>
      </c>
      <c r="H296" s="22">
        <v>0</v>
      </c>
      <c r="I296" s="22">
        <v>0</v>
      </c>
      <c r="J296" s="85"/>
    </row>
    <row r="297" spans="1:10" x14ac:dyDescent="0.25">
      <c r="A297" s="111"/>
      <c r="B297" s="111"/>
      <c r="C297" s="11"/>
      <c r="D297" s="11"/>
      <c r="E297" s="84" t="s">
        <v>255</v>
      </c>
      <c r="F297" s="22"/>
      <c r="G297" s="22">
        <v>0</v>
      </c>
      <c r="H297" s="22">
        <v>0</v>
      </c>
      <c r="I297" s="22">
        <v>0</v>
      </c>
      <c r="J297" s="85"/>
    </row>
    <row r="298" spans="1:10" x14ac:dyDescent="0.25">
      <c r="A298" s="111"/>
      <c r="B298" s="111"/>
      <c r="C298" s="11"/>
      <c r="D298" s="11"/>
      <c r="E298" s="84" t="s">
        <v>362</v>
      </c>
      <c r="F298" s="72">
        <v>260.60000000000002</v>
      </c>
      <c r="G298" s="72">
        <v>270.3</v>
      </c>
      <c r="H298" s="72">
        <v>0</v>
      </c>
      <c r="I298" s="72">
        <v>0</v>
      </c>
      <c r="J298" s="85"/>
    </row>
    <row r="299" spans="1:10" x14ac:dyDescent="0.25">
      <c r="A299" s="111"/>
      <c r="B299" s="111"/>
      <c r="C299" s="11"/>
      <c r="D299" s="11"/>
      <c r="E299" s="84" t="s">
        <v>369</v>
      </c>
      <c r="F299" s="22"/>
      <c r="G299" s="22">
        <v>0</v>
      </c>
      <c r="H299" s="22">
        <v>0</v>
      </c>
      <c r="I299" s="22">
        <v>0</v>
      </c>
      <c r="J299" s="85"/>
    </row>
    <row r="300" spans="1:10" ht="26.25" x14ac:dyDescent="0.25">
      <c r="A300" s="49"/>
      <c r="B300" s="49"/>
      <c r="C300" s="49" t="s">
        <v>373</v>
      </c>
      <c r="D300" s="49"/>
      <c r="E300" s="82" t="s">
        <v>374</v>
      </c>
      <c r="F300" s="51" t="e">
        <f>#REF!+#REF!+#REF!+F301</f>
        <v>#REF!</v>
      </c>
      <c r="G300" s="51">
        <f>G301</f>
        <v>286.2</v>
      </c>
      <c r="H300" s="51">
        <f t="shared" ref="H300:I300" si="72">H301</f>
        <v>400</v>
      </c>
      <c r="I300" s="51">
        <f t="shared" si="72"/>
        <v>0</v>
      </c>
    </row>
    <row r="301" spans="1:10" ht="26.25" customHeight="1" x14ac:dyDescent="0.25">
      <c r="A301" s="52"/>
      <c r="B301" s="52"/>
      <c r="C301" s="52" t="s">
        <v>387</v>
      </c>
      <c r="D301" s="56"/>
      <c r="E301" s="33" t="s">
        <v>388</v>
      </c>
      <c r="F301" s="25" t="e">
        <f>#REF!+F302+F303+#REF!+#REF!+#REF!+#REF!+#REF!</f>
        <v>#REF!</v>
      </c>
      <c r="G301" s="25">
        <f>G302</f>
        <v>286.2</v>
      </c>
      <c r="H301" s="25">
        <f t="shared" ref="H301:I301" si="73">H302</f>
        <v>400</v>
      </c>
      <c r="I301" s="25">
        <f t="shared" si="73"/>
        <v>0</v>
      </c>
    </row>
    <row r="302" spans="1:10" x14ac:dyDescent="0.25">
      <c r="A302" s="111"/>
      <c r="B302" s="111"/>
      <c r="C302" s="11" t="s">
        <v>393</v>
      </c>
      <c r="D302" s="36"/>
      <c r="E302" s="88" t="s">
        <v>394</v>
      </c>
      <c r="F302" s="72" t="e">
        <f>#REF!</f>
        <v>#REF!</v>
      </c>
      <c r="G302" s="72">
        <v>286.2</v>
      </c>
      <c r="H302" s="72">
        <v>400</v>
      </c>
      <c r="I302" s="72">
        <v>0</v>
      </c>
    </row>
    <row r="303" spans="1:10" ht="26.25" x14ac:dyDescent="0.25">
      <c r="A303" s="111"/>
      <c r="B303" s="111"/>
      <c r="C303" s="11" t="s">
        <v>395</v>
      </c>
      <c r="D303" s="36"/>
      <c r="E303" s="88" t="s">
        <v>396</v>
      </c>
      <c r="F303" s="72" t="e">
        <f>#REF!</f>
        <v>#REF!</v>
      </c>
      <c r="G303" s="72">
        <f>50-50</f>
        <v>0</v>
      </c>
      <c r="H303" s="72">
        <f>52-52</f>
        <v>0</v>
      </c>
      <c r="I303" s="72">
        <f>54-54</f>
        <v>0</v>
      </c>
    </row>
    <row r="304" spans="1:10" ht="26.25" x14ac:dyDescent="0.25">
      <c r="A304" s="111"/>
      <c r="B304" s="111"/>
      <c r="C304" s="11"/>
      <c r="D304" s="1" t="s">
        <v>344</v>
      </c>
      <c r="E304" s="2" t="s">
        <v>345</v>
      </c>
      <c r="F304" s="72"/>
      <c r="G304" s="72">
        <v>286.2</v>
      </c>
      <c r="H304" s="72">
        <v>400</v>
      </c>
      <c r="I304" s="72">
        <v>0</v>
      </c>
    </row>
    <row r="305" spans="1:11" ht="26.25" x14ac:dyDescent="0.25">
      <c r="A305" s="49"/>
      <c r="B305" s="49"/>
      <c r="C305" s="49" t="s">
        <v>403</v>
      </c>
      <c r="D305" s="49"/>
      <c r="E305" s="82" t="s">
        <v>404</v>
      </c>
      <c r="F305" s="51" t="e">
        <f>F306+F313+#REF!+F322</f>
        <v>#REF!</v>
      </c>
      <c r="G305" s="51">
        <f>G306+G313+G322</f>
        <v>6957.8</v>
      </c>
      <c r="H305" s="51">
        <f>H306+H313+H322</f>
        <v>9163.5999999999985</v>
      </c>
      <c r="I305" s="51">
        <f>I306+I313+I322</f>
        <v>3939.8999999999996</v>
      </c>
    </row>
    <row r="306" spans="1:11" ht="39" x14ac:dyDescent="0.25">
      <c r="A306" s="52"/>
      <c r="B306" s="52"/>
      <c r="C306" s="52" t="s">
        <v>405</v>
      </c>
      <c r="D306" s="52"/>
      <c r="E306" s="33" t="s">
        <v>406</v>
      </c>
      <c r="F306" s="25" t="e">
        <f>F307+#REF!+#REF!+F309+#REF!+#REF!+F311</f>
        <v>#REF!</v>
      </c>
      <c r="G306" s="25">
        <f>G307+G309+G311</f>
        <v>4201.2</v>
      </c>
      <c r="H306" s="25">
        <f t="shared" ref="H306:I306" si="74">H307+H309+H311</f>
        <v>3278</v>
      </c>
      <c r="I306" s="25">
        <f t="shared" si="74"/>
        <v>3409.1</v>
      </c>
    </row>
    <row r="307" spans="1:11" ht="26.25" x14ac:dyDescent="0.25">
      <c r="A307" s="11"/>
      <c r="B307" s="11"/>
      <c r="C307" s="11" t="s">
        <v>407</v>
      </c>
      <c r="D307" s="11"/>
      <c r="E307" s="88" t="s">
        <v>408</v>
      </c>
      <c r="F307" s="72" t="e">
        <f>#REF!</f>
        <v>#REF!</v>
      </c>
      <c r="G307" s="72">
        <v>3091.9</v>
      </c>
      <c r="H307" s="72">
        <v>3215.6</v>
      </c>
      <c r="I307" s="72">
        <v>3344.2</v>
      </c>
      <c r="J307" s="63"/>
      <c r="K307" s="63"/>
    </row>
    <row r="308" spans="1:11" ht="26.25" x14ac:dyDescent="0.25">
      <c r="A308" s="20"/>
      <c r="B308" s="20"/>
      <c r="C308" s="20"/>
      <c r="D308" s="1" t="s">
        <v>344</v>
      </c>
      <c r="E308" s="2" t="s">
        <v>345</v>
      </c>
      <c r="F308" s="22"/>
      <c r="G308" s="72">
        <v>3091.9</v>
      </c>
      <c r="H308" s="72">
        <v>3215.6</v>
      </c>
      <c r="I308" s="72">
        <v>3344.2</v>
      </c>
    </row>
    <row r="309" spans="1:11" ht="26.25" x14ac:dyDescent="0.25">
      <c r="A309" s="11"/>
      <c r="B309" s="11"/>
      <c r="C309" s="11" t="s">
        <v>415</v>
      </c>
      <c r="D309" s="11"/>
      <c r="E309" s="31" t="s">
        <v>416</v>
      </c>
      <c r="F309" s="22" t="e">
        <f>#REF!</f>
        <v>#REF!</v>
      </c>
      <c r="G309" s="22">
        <v>564.79999999999995</v>
      </c>
      <c r="H309" s="22">
        <v>0</v>
      </c>
      <c r="I309" s="22">
        <v>0</v>
      </c>
    </row>
    <row r="310" spans="1:11" ht="26.25" x14ac:dyDescent="0.25">
      <c r="A310" s="20"/>
      <c r="B310" s="20"/>
      <c r="C310" s="20"/>
      <c r="D310" s="1" t="s">
        <v>344</v>
      </c>
      <c r="E310" s="2" t="s">
        <v>345</v>
      </c>
      <c r="F310" s="22"/>
      <c r="G310" s="22">
        <v>564.79999999999995</v>
      </c>
      <c r="H310" s="22">
        <v>0</v>
      </c>
      <c r="I310" s="22">
        <v>0</v>
      </c>
    </row>
    <row r="311" spans="1:11" ht="39" x14ac:dyDescent="0.25">
      <c r="A311" s="11"/>
      <c r="B311" s="11"/>
      <c r="C311" s="11" t="s">
        <v>639</v>
      </c>
      <c r="D311" s="11"/>
      <c r="E311" s="5" t="s">
        <v>419</v>
      </c>
      <c r="F311" s="22"/>
      <c r="G311" s="22">
        <v>544.5</v>
      </c>
      <c r="H311" s="22">
        <v>62.4</v>
      </c>
      <c r="I311" s="22">
        <v>64.900000000000006</v>
      </c>
    </row>
    <row r="312" spans="1:11" ht="26.25" x14ac:dyDescent="0.25">
      <c r="A312" s="11"/>
      <c r="B312" s="11"/>
      <c r="C312" s="11"/>
      <c r="D312" s="1" t="s">
        <v>344</v>
      </c>
      <c r="E312" s="2" t="s">
        <v>345</v>
      </c>
      <c r="F312" s="22"/>
      <c r="G312" s="22">
        <v>544.5</v>
      </c>
      <c r="H312" s="22">
        <v>62.4</v>
      </c>
      <c r="I312" s="22">
        <v>64.900000000000006</v>
      </c>
    </row>
    <row r="313" spans="1:11" ht="26.25" x14ac:dyDescent="0.25">
      <c r="A313" s="52"/>
      <c r="B313" s="52"/>
      <c r="C313" s="52" t="s">
        <v>420</v>
      </c>
      <c r="D313" s="52"/>
      <c r="E313" s="33" t="s">
        <v>421</v>
      </c>
      <c r="F313" s="25" t="e">
        <f>F314+#REF!+#REF!+#REF!+#REF!+F318+F320</f>
        <v>#REF!</v>
      </c>
      <c r="G313" s="25">
        <f>G314+G316+G318+G320</f>
        <v>490.8</v>
      </c>
      <c r="H313" s="25">
        <f t="shared" ref="H313:I313" si="75">H314+H316+H318+H320</f>
        <v>5885.5999999999995</v>
      </c>
      <c r="I313" s="25">
        <f t="shared" si="75"/>
        <v>530.79999999999995</v>
      </c>
    </row>
    <row r="314" spans="1:11" ht="25.5" x14ac:dyDescent="0.25">
      <c r="A314" s="11"/>
      <c r="B314" s="11"/>
      <c r="C314" s="11" t="s">
        <v>422</v>
      </c>
      <c r="D314" s="26"/>
      <c r="E314" s="3" t="s">
        <v>423</v>
      </c>
      <c r="F314" s="22" t="e">
        <f>#REF!</f>
        <v>#REF!</v>
      </c>
      <c r="G314" s="22">
        <v>490.8</v>
      </c>
      <c r="H314" s="22">
        <v>510.4</v>
      </c>
      <c r="I314" s="22">
        <v>530.79999999999995</v>
      </c>
    </row>
    <row r="315" spans="1:11" ht="26.25" x14ac:dyDescent="0.25">
      <c r="A315" s="11"/>
      <c r="B315" s="11"/>
      <c r="C315" s="11"/>
      <c r="D315" s="1" t="s">
        <v>344</v>
      </c>
      <c r="E315" s="2" t="s">
        <v>345</v>
      </c>
      <c r="F315" s="22"/>
      <c r="G315" s="22">
        <v>490.8</v>
      </c>
      <c r="H315" s="22">
        <v>510.4</v>
      </c>
      <c r="I315" s="22">
        <v>530.79999999999995</v>
      </c>
    </row>
    <row r="316" spans="1:11" x14ac:dyDescent="0.25">
      <c r="A316" s="11"/>
      <c r="B316" s="11"/>
      <c r="C316" s="11" t="s">
        <v>640</v>
      </c>
      <c r="D316" s="8"/>
      <c r="E316" s="31" t="s">
        <v>432</v>
      </c>
      <c r="F316" s="22"/>
      <c r="G316" s="22">
        <v>0</v>
      </c>
      <c r="H316" s="22">
        <f>H317</f>
        <v>4478.3999999999996</v>
      </c>
      <c r="I316" s="22">
        <v>0</v>
      </c>
    </row>
    <row r="317" spans="1:11" ht="26.25" x14ac:dyDescent="0.25">
      <c r="A317" s="11"/>
      <c r="B317" s="11"/>
      <c r="C317" s="11"/>
      <c r="D317" s="1" t="s">
        <v>344</v>
      </c>
      <c r="E317" s="2" t="s">
        <v>345</v>
      </c>
      <c r="F317" s="22"/>
      <c r="G317" s="22">
        <v>0</v>
      </c>
      <c r="H317" s="22">
        <f>5375.2-896.8</f>
        <v>4478.3999999999996</v>
      </c>
      <c r="I317" s="22">
        <v>0</v>
      </c>
    </row>
    <row r="318" spans="1:11" x14ac:dyDescent="0.25">
      <c r="A318" s="11"/>
      <c r="B318" s="11"/>
      <c r="C318" s="11" t="s">
        <v>641</v>
      </c>
      <c r="D318" s="8"/>
      <c r="E318" s="31" t="s">
        <v>433</v>
      </c>
      <c r="F318" s="22"/>
      <c r="G318" s="22">
        <v>0</v>
      </c>
      <c r="H318" s="22">
        <v>896.8</v>
      </c>
      <c r="I318" s="22">
        <v>0</v>
      </c>
    </row>
    <row r="319" spans="1:11" ht="26.25" x14ac:dyDescent="0.25">
      <c r="A319" s="11"/>
      <c r="B319" s="11"/>
      <c r="C319" s="11"/>
      <c r="D319" s="1" t="s">
        <v>344</v>
      </c>
      <c r="E319" s="2" t="s">
        <v>345</v>
      </c>
      <c r="F319" s="22"/>
      <c r="G319" s="22">
        <v>0</v>
      </c>
      <c r="H319" s="22">
        <v>896.8</v>
      </c>
      <c r="I319" s="22">
        <v>0</v>
      </c>
    </row>
    <row r="320" spans="1:11" x14ac:dyDescent="0.25">
      <c r="A320" s="11"/>
      <c r="B320" s="11"/>
      <c r="C320" s="11" t="s">
        <v>642</v>
      </c>
      <c r="D320" s="8"/>
      <c r="E320" s="31" t="s">
        <v>434</v>
      </c>
      <c r="F320" s="22"/>
      <c r="G320" s="22">
        <v>0</v>
      </c>
      <c r="H320" s="22">
        <v>0</v>
      </c>
      <c r="I320" s="22">
        <v>0</v>
      </c>
    </row>
    <row r="321" spans="1:11" ht="26.25" x14ac:dyDescent="0.25">
      <c r="A321" s="11"/>
      <c r="B321" s="11"/>
      <c r="C321" s="11"/>
      <c r="D321" s="1" t="s">
        <v>344</v>
      </c>
      <c r="E321" s="2" t="s">
        <v>345</v>
      </c>
      <c r="F321" s="22"/>
      <c r="G321" s="22">
        <v>0</v>
      </c>
      <c r="H321" s="22">
        <v>0</v>
      </c>
      <c r="I321" s="22">
        <v>0</v>
      </c>
    </row>
    <row r="322" spans="1:11" ht="25.5" x14ac:dyDescent="0.25">
      <c r="A322" s="23"/>
      <c r="B322" s="23"/>
      <c r="C322" s="23" t="s">
        <v>435</v>
      </c>
      <c r="D322" s="23"/>
      <c r="E322" s="32" t="s">
        <v>436</v>
      </c>
      <c r="F322" s="25" t="e">
        <f>#REF!+#REF!+#REF!+F323</f>
        <v>#REF!</v>
      </c>
      <c r="G322" s="25">
        <f>G323</f>
        <v>2265.8000000000002</v>
      </c>
      <c r="H322" s="25">
        <f t="shared" ref="H322:I322" si="76">H323</f>
        <v>0</v>
      </c>
      <c r="I322" s="25">
        <f t="shared" si="76"/>
        <v>0</v>
      </c>
    </row>
    <row r="323" spans="1:11" ht="39" x14ac:dyDescent="0.25">
      <c r="A323" s="111"/>
      <c r="B323" s="111"/>
      <c r="C323" s="11" t="s">
        <v>643</v>
      </c>
      <c r="D323" s="8"/>
      <c r="E323" s="31" t="s">
        <v>185</v>
      </c>
      <c r="F323" s="22"/>
      <c r="G323" s="22">
        <v>2265.8000000000002</v>
      </c>
      <c r="H323" s="22">
        <v>0</v>
      </c>
      <c r="I323" s="22">
        <v>0</v>
      </c>
    </row>
    <row r="324" spans="1:11" ht="26.25" x14ac:dyDescent="0.25">
      <c r="A324" s="111"/>
      <c r="B324" s="111"/>
      <c r="C324" s="11"/>
      <c r="D324" s="1" t="s">
        <v>344</v>
      </c>
      <c r="E324" s="2" t="s">
        <v>345</v>
      </c>
      <c r="F324" s="22"/>
      <c r="G324" s="22">
        <v>2265.8000000000002</v>
      </c>
      <c r="H324" s="22">
        <v>0</v>
      </c>
      <c r="I324" s="22">
        <v>0</v>
      </c>
    </row>
    <row r="325" spans="1:11" x14ac:dyDescent="0.25">
      <c r="A325" s="111"/>
      <c r="B325" s="111"/>
      <c r="C325" s="116" t="s">
        <v>671</v>
      </c>
      <c r="D325" s="27"/>
      <c r="E325" s="117" t="s">
        <v>672</v>
      </c>
      <c r="F325" s="22"/>
      <c r="G325" s="45">
        <f>G326</f>
        <v>979.5</v>
      </c>
      <c r="H325" s="45">
        <f t="shared" ref="H325:I327" si="77">H326</f>
        <v>0</v>
      </c>
      <c r="I325" s="45">
        <f t="shared" si="77"/>
        <v>0</v>
      </c>
    </row>
    <row r="326" spans="1:11" ht="38.25" x14ac:dyDescent="0.25">
      <c r="A326" s="111"/>
      <c r="B326" s="111"/>
      <c r="C326" s="116" t="s">
        <v>539</v>
      </c>
      <c r="D326" s="27"/>
      <c r="E326" s="117" t="s">
        <v>713</v>
      </c>
      <c r="F326" s="22"/>
      <c r="G326" s="45">
        <f>G327</f>
        <v>979.5</v>
      </c>
      <c r="H326" s="45">
        <f t="shared" si="77"/>
        <v>0</v>
      </c>
      <c r="I326" s="45">
        <f t="shared" si="77"/>
        <v>0</v>
      </c>
    </row>
    <row r="327" spans="1:11" ht="25.5" x14ac:dyDescent="0.25">
      <c r="A327" s="111"/>
      <c r="B327" s="111"/>
      <c r="C327" s="123" t="s">
        <v>556</v>
      </c>
      <c r="D327" s="26"/>
      <c r="E327" s="3" t="s">
        <v>557</v>
      </c>
      <c r="F327" s="57"/>
      <c r="G327" s="57">
        <f>G328</f>
        <v>979.5</v>
      </c>
      <c r="H327" s="57">
        <f t="shared" si="77"/>
        <v>0</v>
      </c>
      <c r="I327" s="57">
        <f t="shared" si="77"/>
        <v>0</v>
      </c>
    </row>
    <row r="328" spans="1:11" x14ac:dyDescent="0.25">
      <c r="A328" s="111"/>
      <c r="B328" s="111"/>
      <c r="C328" s="123"/>
      <c r="D328" s="26" t="s">
        <v>543</v>
      </c>
      <c r="E328" s="3" t="s">
        <v>544</v>
      </c>
      <c r="F328" s="57"/>
      <c r="G328" s="57">
        <v>979.5</v>
      </c>
      <c r="H328" s="57">
        <v>0</v>
      </c>
      <c r="I328" s="57">
        <v>0</v>
      </c>
    </row>
    <row r="329" spans="1:11" x14ac:dyDescent="0.25">
      <c r="A329" s="111"/>
      <c r="B329" s="27" t="s">
        <v>714</v>
      </c>
      <c r="C329" s="116"/>
      <c r="D329" s="115"/>
      <c r="E329" s="117" t="s">
        <v>715</v>
      </c>
      <c r="F329" s="57"/>
      <c r="G329" s="124">
        <f>G330</f>
        <v>22649.419499999996</v>
      </c>
      <c r="H329" s="124">
        <f t="shared" ref="H329:I329" si="78">H330</f>
        <v>26636.711000000003</v>
      </c>
      <c r="I329" s="124">
        <f t="shared" si="78"/>
        <v>31795.272000000001</v>
      </c>
    </row>
    <row r="330" spans="1:11" ht="25.5" x14ac:dyDescent="0.25">
      <c r="A330" s="111"/>
      <c r="B330" s="27"/>
      <c r="C330" s="116" t="s">
        <v>6</v>
      </c>
      <c r="D330" s="27"/>
      <c r="E330" s="122" t="s">
        <v>7</v>
      </c>
      <c r="F330" s="57"/>
      <c r="G330" s="124">
        <f>G331+G359</f>
        <v>22649.419499999996</v>
      </c>
      <c r="H330" s="124">
        <f>H331+H359</f>
        <v>26636.711000000003</v>
      </c>
      <c r="I330" s="124">
        <f>I331+I359</f>
        <v>31795.272000000001</v>
      </c>
    </row>
    <row r="331" spans="1:11" ht="25.5" x14ac:dyDescent="0.25">
      <c r="A331" s="129"/>
      <c r="B331" s="130"/>
      <c r="C331" s="131" t="s">
        <v>354</v>
      </c>
      <c r="D331" s="130"/>
      <c r="E331" s="132" t="s">
        <v>355</v>
      </c>
      <c r="F331" s="22" t="e">
        <f>#REF!+F338+#REF!+#REF!</f>
        <v>#REF!</v>
      </c>
      <c r="G331" s="147">
        <f>G332+G338</f>
        <v>13544.814499999999</v>
      </c>
      <c r="H331" s="147">
        <f t="shared" ref="H331:I331" si="79">H332+H338</f>
        <v>16203.5</v>
      </c>
      <c r="I331" s="147">
        <f t="shared" si="79"/>
        <v>21743.4</v>
      </c>
      <c r="K331" s="63"/>
    </row>
    <row r="332" spans="1:11" x14ac:dyDescent="0.25">
      <c r="A332" s="49"/>
      <c r="B332" s="49"/>
      <c r="C332" s="49" t="s">
        <v>356</v>
      </c>
      <c r="D332" s="49"/>
      <c r="E332" s="82" t="s">
        <v>357</v>
      </c>
      <c r="F332" s="51" t="e">
        <f>F333+F345</f>
        <v>#REF!</v>
      </c>
      <c r="G332" s="51">
        <f>G333+G345</f>
        <v>3286.9</v>
      </c>
      <c r="H332" s="51">
        <f>H333</f>
        <v>11777.9</v>
      </c>
      <c r="I332" s="51">
        <f>I333</f>
        <v>16641.400000000001</v>
      </c>
      <c r="K332" s="63"/>
    </row>
    <row r="333" spans="1:11" ht="26.25" x14ac:dyDescent="0.25">
      <c r="A333" s="36"/>
      <c r="B333" s="36"/>
      <c r="C333" s="36" t="s">
        <v>363</v>
      </c>
      <c r="D333" s="11"/>
      <c r="E333" s="5" t="s">
        <v>364</v>
      </c>
      <c r="F333" s="19" t="e">
        <f>#REF!</f>
        <v>#REF!</v>
      </c>
      <c r="G333" s="22">
        <f>G335+G336+G337</f>
        <v>3286.9</v>
      </c>
      <c r="H333" s="22">
        <f t="shared" ref="H333:I333" si="80">H335+H336+H337</f>
        <v>11777.9</v>
      </c>
      <c r="I333" s="22">
        <f t="shared" si="80"/>
        <v>16641.400000000001</v>
      </c>
      <c r="J333" s="85"/>
    </row>
    <row r="334" spans="1:11" ht="26.25" x14ac:dyDescent="0.25">
      <c r="A334" s="36"/>
      <c r="B334" s="36"/>
      <c r="C334" s="36"/>
      <c r="D334" s="28" t="s">
        <v>344</v>
      </c>
      <c r="E334" s="29" t="s">
        <v>345</v>
      </c>
      <c r="F334" s="19"/>
      <c r="G334" s="22">
        <v>3286.9</v>
      </c>
      <c r="H334" s="22">
        <v>11777.9</v>
      </c>
      <c r="I334" s="22">
        <v>16641.400000000001</v>
      </c>
      <c r="J334" s="85"/>
    </row>
    <row r="335" spans="1:11" x14ac:dyDescent="0.25">
      <c r="A335" s="36"/>
      <c r="B335" s="36"/>
      <c r="C335" s="36"/>
      <c r="D335" s="11"/>
      <c r="E335" s="84" t="s">
        <v>187</v>
      </c>
      <c r="F335" s="22">
        <v>763.9</v>
      </c>
      <c r="G335" s="22">
        <v>2185.8000000000002</v>
      </c>
      <c r="H335" s="22">
        <v>7832.3</v>
      </c>
      <c r="I335" s="22">
        <v>11066.5</v>
      </c>
      <c r="J335" s="85"/>
    </row>
    <row r="336" spans="1:11" x14ac:dyDescent="0.25">
      <c r="A336" s="36"/>
      <c r="B336" s="36"/>
      <c r="C336" s="36"/>
      <c r="D336" s="11"/>
      <c r="E336" s="84" t="s">
        <v>255</v>
      </c>
      <c r="F336" s="22">
        <v>40.200000000000003</v>
      </c>
      <c r="G336" s="22">
        <v>115</v>
      </c>
      <c r="H336" s="22">
        <v>412.2</v>
      </c>
      <c r="I336" s="22">
        <v>582.5</v>
      </c>
      <c r="J336" s="85"/>
    </row>
    <row r="337" spans="1:10" x14ac:dyDescent="0.25">
      <c r="A337" s="36"/>
      <c r="B337" s="36"/>
      <c r="C337" s="36"/>
      <c r="D337" s="11"/>
      <c r="E337" s="84" t="s">
        <v>362</v>
      </c>
      <c r="F337" s="22">
        <v>344.6</v>
      </c>
      <c r="G337" s="22">
        <v>986.1</v>
      </c>
      <c r="H337" s="22">
        <v>3533.4</v>
      </c>
      <c r="I337" s="22">
        <v>4992.3999999999996</v>
      </c>
      <c r="J337" s="85"/>
    </row>
    <row r="338" spans="1:10" ht="26.25" x14ac:dyDescent="0.25">
      <c r="A338" s="49"/>
      <c r="B338" s="49"/>
      <c r="C338" s="49" t="s">
        <v>373</v>
      </c>
      <c r="D338" s="49"/>
      <c r="E338" s="82" t="s">
        <v>374</v>
      </c>
      <c r="F338" s="51" t="e">
        <f>#REF!+F339+#REF!+F352</f>
        <v>#REF!</v>
      </c>
      <c r="G338" s="51">
        <f>G339+G352</f>
        <v>10257.914499999999</v>
      </c>
      <c r="H338" s="51">
        <f t="shared" ref="H338:I338" si="81">H339+H352</f>
        <v>4425.6000000000004</v>
      </c>
      <c r="I338" s="51">
        <f t="shared" si="81"/>
        <v>5102</v>
      </c>
    </row>
    <row r="339" spans="1:10" ht="26.25" x14ac:dyDescent="0.25">
      <c r="A339" s="52"/>
      <c r="B339" s="52"/>
      <c r="C339" s="52" t="s">
        <v>380</v>
      </c>
      <c r="D339" s="52"/>
      <c r="E339" s="33" t="s">
        <v>381</v>
      </c>
      <c r="F339" s="25" t="e">
        <f>#REF!+#REF!+F348+F350+#REF!+F345</f>
        <v>#REF!</v>
      </c>
      <c r="G339" s="25">
        <f>G348+G350+G345+G340</f>
        <v>8140.9144999999999</v>
      </c>
      <c r="H339" s="25">
        <f>H348+H350+H345</f>
        <v>4425.6000000000004</v>
      </c>
      <c r="I339" s="25">
        <f>I348+I350+I345</f>
        <v>5102</v>
      </c>
    </row>
    <row r="340" spans="1:10" x14ac:dyDescent="0.25">
      <c r="A340" s="20"/>
      <c r="B340" s="20"/>
      <c r="C340" s="11" t="s">
        <v>1397</v>
      </c>
      <c r="D340" s="11"/>
      <c r="E340" s="31" t="s">
        <v>1396</v>
      </c>
      <c r="F340" s="45"/>
      <c r="G340" s="439">
        <f>G341</f>
        <v>3850.9144999999999</v>
      </c>
      <c r="H340" s="45">
        <v>0</v>
      </c>
      <c r="I340" s="45">
        <v>0</v>
      </c>
    </row>
    <row r="341" spans="1:10" ht="26.25" x14ac:dyDescent="0.25">
      <c r="A341" s="20"/>
      <c r="B341" s="20"/>
      <c r="C341" s="11"/>
      <c r="D341" s="11" t="s">
        <v>344</v>
      </c>
      <c r="E341" s="2" t="s">
        <v>345</v>
      </c>
      <c r="F341" s="45"/>
      <c r="G341" s="439">
        <f>SUM(G342+G343+G344)</f>
        <v>3850.9144999999999</v>
      </c>
      <c r="H341" s="45">
        <v>0</v>
      </c>
      <c r="I341" s="45">
        <v>0</v>
      </c>
    </row>
    <row r="342" spans="1:10" x14ac:dyDescent="0.25">
      <c r="A342" s="20"/>
      <c r="B342" s="20"/>
      <c r="C342" s="11"/>
      <c r="D342" s="11"/>
      <c r="E342" s="84" t="s">
        <v>255</v>
      </c>
      <c r="F342" s="45"/>
      <c r="G342" s="439">
        <v>3465.8229999999999</v>
      </c>
      <c r="H342" s="45">
        <v>0</v>
      </c>
      <c r="I342" s="45">
        <v>0</v>
      </c>
    </row>
    <row r="343" spans="1:10" x14ac:dyDescent="0.25">
      <c r="A343" s="20"/>
      <c r="B343" s="20"/>
      <c r="C343" s="11"/>
      <c r="D343" s="11"/>
      <c r="E343" s="84" t="s">
        <v>362</v>
      </c>
      <c r="F343" s="45"/>
      <c r="G343" s="439">
        <v>192.54599999999999</v>
      </c>
      <c r="H343" s="45">
        <v>0</v>
      </c>
      <c r="I343" s="45">
        <v>0</v>
      </c>
    </row>
    <row r="344" spans="1:10" x14ac:dyDescent="0.25">
      <c r="A344" s="20"/>
      <c r="B344" s="20"/>
      <c r="C344" s="11"/>
      <c r="D344" s="11"/>
      <c r="E344" s="84" t="s">
        <v>369</v>
      </c>
      <c r="F344" s="45"/>
      <c r="G344" s="439">
        <v>192.5455</v>
      </c>
      <c r="H344" s="45">
        <v>0</v>
      </c>
      <c r="I344" s="45">
        <v>0</v>
      </c>
    </row>
    <row r="345" spans="1:10" ht="39" x14ac:dyDescent="0.25">
      <c r="A345" s="11"/>
      <c r="B345" s="11"/>
      <c r="C345" s="11" t="s">
        <v>386</v>
      </c>
      <c r="D345" s="20"/>
      <c r="E345" s="88" t="s">
        <v>382</v>
      </c>
      <c r="F345" s="72" t="e">
        <f>#REF!</f>
        <v>#REF!</v>
      </c>
      <c r="G345" s="72">
        <f>G347</f>
        <v>0</v>
      </c>
      <c r="H345" s="72">
        <f>H346</f>
        <v>448</v>
      </c>
      <c r="I345" s="72">
        <f>I346</f>
        <v>463</v>
      </c>
    </row>
    <row r="346" spans="1:10" ht="26.25" customHeight="1" x14ac:dyDescent="0.25">
      <c r="A346" s="11"/>
      <c r="B346" s="11"/>
      <c r="C346" s="11"/>
      <c r="D346" s="1" t="s">
        <v>344</v>
      </c>
      <c r="E346" s="2" t="s">
        <v>345</v>
      </c>
      <c r="F346" s="72"/>
      <c r="G346" s="72">
        <v>0</v>
      </c>
      <c r="H346" s="72">
        <f>H347</f>
        <v>448</v>
      </c>
      <c r="I346" s="72">
        <f>I347</f>
        <v>463</v>
      </c>
    </row>
    <row r="347" spans="1:10" ht="18" customHeight="1" x14ac:dyDescent="0.25">
      <c r="A347" s="11"/>
      <c r="B347" s="11"/>
      <c r="C347" s="11"/>
      <c r="D347" s="20"/>
      <c r="E347" s="15" t="s">
        <v>121</v>
      </c>
      <c r="F347" s="22"/>
      <c r="G347" s="22">
        <f>2200-2200</f>
        <v>0</v>
      </c>
      <c r="H347" s="22">
        <f>1248-800</f>
        <v>448</v>
      </c>
      <c r="I347" s="22">
        <f>1297-350-484</f>
        <v>463</v>
      </c>
    </row>
    <row r="348" spans="1:10" ht="25.5" x14ac:dyDescent="0.25">
      <c r="A348" s="26"/>
      <c r="B348" s="26"/>
      <c r="C348" s="26" t="s">
        <v>383</v>
      </c>
      <c r="D348" s="26"/>
      <c r="E348" s="3" t="s">
        <v>635</v>
      </c>
      <c r="F348" s="72" t="e">
        <f>#REF!</f>
        <v>#REF!</v>
      </c>
      <c r="G348" s="72">
        <v>2690</v>
      </c>
      <c r="H348" s="72">
        <v>2797.6</v>
      </c>
      <c r="I348" s="72">
        <v>2909</v>
      </c>
    </row>
    <row r="349" spans="1:10" ht="26.25" x14ac:dyDescent="0.25">
      <c r="A349" s="26"/>
      <c r="B349" s="26"/>
      <c r="C349" s="26"/>
      <c r="D349" s="1" t="s">
        <v>344</v>
      </c>
      <c r="E349" s="2" t="s">
        <v>345</v>
      </c>
      <c r="F349" s="72"/>
      <c r="G349" s="72">
        <v>2690</v>
      </c>
      <c r="H349" s="72">
        <v>2797.6</v>
      </c>
      <c r="I349" s="72">
        <v>2909</v>
      </c>
    </row>
    <row r="350" spans="1:10" ht="25.5" x14ac:dyDescent="0.25">
      <c r="A350" s="26"/>
      <c r="B350" s="26"/>
      <c r="C350" s="26" t="s">
        <v>384</v>
      </c>
      <c r="D350" s="26"/>
      <c r="E350" s="3" t="s">
        <v>385</v>
      </c>
      <c r="F350" s="72" t="e">
        <f>#REF!</f>
        <v>#REF!</v>
      </c>
      <c r="G350" s="72">
        <v>1600</v>
      </c>
      <c r="H350" s="72">
        <f>H351</f>
        <v>1180</v>
      </c>
      <c r="I350" s="72">
        <v>1730</v>
      </c>
    </row>
    <row r="351" spans="1:10" ht="26.25" x14ac:dyDescent="0.25">
      <c r="A351" s="26"/>
      <c r="B351" s="26"/>
      <c r="C351" s="26"/>
      <c r="D351" s="1" t="s">
        <v>344</v>
      </c>
      <c r="E351" s="2" t="s">
        <v>345</v>
      </c>
      <c r="F351" s="72"/>
      <c r="G351" s="72">
        <v>1600</v>
      </c>
      <c r="H351" s="72">
        <f>1664-484</f>
        <v>1180</v>
      </c>
      <c r="I351" s="72">
        <v>1730</v>
      </c>
    </row>
    <row r="352" spans="1:10" ht="26.25" customHeight="1" x14ac:dyDescent="0.25">
      <c r="A352" s="52"/>
      <c r="B352" s="52"/>
      <c r="C352" s="52" t="s">
        <v>387</v>
      </c>
      <c r="D352" s="56"/>
      <c r="E352" s="33" t="s">
        <v>388</v>
      </c>
      <c r="F352" s="25" t="e">
        <f>F353+#REF!+#REF!+F355+#REF!+#REF!+F357+#REF!</f>
        <v>#REF!</v>
      </c>
      <c r="G352" s="25">
        <f>G353+G355+G357</f>
        <v>2117</v>
      </c>
      <c r="H352" s="25">
        <f>H353+H355+H357</f>
        <v>0</v>
      </c>
      <c r="I352" s="25">
        <f>I353+I355+I357</f>
        <v>0</v>
      </c>
    </row>
    <row r="353" spans="1:9" x14ac:dyDescent="0.25">
      <c r="A353" s="111"/>
      <c r="B353" s="111"/>
      <c r="C353" s="11" t="s">
        <v>389</v>
      </c>
      <c r="D353" s="89"/>
      <c r="E353" s="88" t="s">
        <v>390</v>
      </c>
      <c r="F353" s="72" t="e">
        <f>#REF!</f>
        <v>#REF!</v>
      </c>
      <c r="G353" s="72">
        <v>300</v>
      </c>
      <c r="H353" s="72">
        <v>0</v>
      </c>
      <c r="I353" s="72">
        <v>0</v>
      </c>
    </row>
    <row r="354" spans="1:9" ht="26.25" x14ac:dyDescent="0.25">
      <c r="A354" s="111"/>
      <c r="B354" s="111"/>
      <c r="C354" s="20"/>
      <c r="D354" s="1" t="s">
        <v>344</v>
      </c>
      <c r="E354" s="2" t="s">
        <v>345</v>
      </c>
      <c r="F354" s="22"/>
      <c r="G354" s="72">
        <v>300</v>
      </c>
      <c r="H354" s="72">
        <v>0</v>
      </c>
      <c r="I354" s="72">
        <v>0</v>
      </c>
    </row>
    <row r="355" spans="1:9" ht="26.25" x14ac:dyDescent="0.25">
      <c r="A355" s="111"/>
      <c r="B355" s="111"/>
      <c r="C355" s="11" t="s">
        <v>397</v>
      </c>
      <c r="D355" s="36"/>
      <c r="E355" s="88" t="s">
        <v>398</v>
      </c>
      <c r="F355" s="72" t="e">
        <f>#REF!</f>
        <v>#REF!</v>
      </c>
      <c r="G355" s="72">
        <v>1135.7</v>
      </c>
      <c r="H355" s="72">
        <v>0</v>
      </c>
      <c r="I355" s="72">
        <v>0</v>
      </c>
    </row>
    <row r="356" spans="1:9" ht="26.25" x14ac:dyDescent="0.25">
      <c r="A356" s="111"/>
      <c r="B356" s="111"/>
      <c r="C356" s="30"/>
      <c r="D356" s="1" t="s">
        <v>344</v>
      </c>
      <c r="E356" s="2" t="s">
        <v>345</v>
      </c>
      <c r="F356" s="72"/>
      <c r="G356" s="72">
        <v>1135.7</v>
      </c>
      <c r="H356" s="72">
        <v>0</v>
      </c>
      <c r="I356" s="72">
        <v>0</v>
      </c>
    </row>
    <row r="357" spans="1:9" ht="25.5" x14ac:dyDescent="0.25">
      <c r="A357" s="111"/>
      <c r="B357" s="111"/>
      <c r="C357" s="26" t="s">
        <v>636</v>
      </c>
      <c r="D357" s="30"/>
      <c r="E357" s="3" t="s">
        <v>401</v>
      </c>
      <c r="F357" s="72"/>
      <c r="G357" s="72">
        <v>681.3</v>
      </c>
      <c r="H357" s="72">
        <v>0</v>
      </c>
      <c r="I357" s="72">
        <v>0</v>
      </c>
    </row>
    <row r="358" spans="1:9" ht="26.25" x14ac:dyDescent="0.25">
      <c r="A358" s="111"/>
      <c r="B358" s="111"/>
      <c r="C358" s="26"/>
      <c r="D358" s="1" t="s">
        <v>344</v>
      </c>
      <c r="E358" s="2" t="s">
        <v>345</v>
      </c>
      <c r="F358" s="72"/>
      <c r="G358" s="72">
        <v>681.3</v>
      </c>
      <c r="H358" s="72">
        <v>0</v>
      </c>
      <c r="I358" s="72">
        <v>0</v>
      </c>
    </row>
    <row r="359" spans="1:9" ht="38.25" x14ac:dyDescent="0.25">
      <c r="A359" s="129"/>
      <c r="B359" s="130"/>
      <c r="C359" s="131" t="s">
        <v>473</v>
      </c>
      <c r="D359" s="130"/>
      <c r="E359" s="132" t="s">
        <v>523</v>
      </c>
      <c r="F359" s="22" t="e">
        <f>F360+F363+F369</f>
        <v>#REF!</v>
      </c>
      <c r="G359" s="147">
        <f>G360+G363+G369</f>
        <v>9104.6049999999996</v>
      </c>
      <c r="H359" s="147">
        <f>H360+H363+H369</f>
        <v>10433.211000000001</v>
      </c>
      <c r="I359" s="147">
        <f>I360+I363+I369</f>
        <v>10051.871999999999</v>
      </c>
    </row>
    <row r="360" spans="1:9" ht="26.25" x14ac:dyDescent="0.25">
      <c r="A360" s="52"/>
      <c r="B360" s="52"/>
      <c r="C360" s="52" t="s">
        <v>649</v>
      </c>
      <c r="D360" s="56"/>
      <c r="E360" s="53" t="s">
        <v>524</v>
      </c>
      <c r="F360" s="25" t="e">
        <f>#REF!+F361</f>
        <v>#REF!</v>
      </c>
      <c r="G360" s="25">
        <f>G361</f>
        <v>100</v>
      </c>
      <c r="H360" s="25">
        <f t="shared" ref="H360:I360" si="82">H361</f>
        <v>104</v>
      </c>
      <c r="I360" s="25">
        <f t="shared" si="82"/>
        <v>108.2</v>
      </c>
    </row>
    <row r="361" spans="1:9" x14ac:dyDescent="0.25">
      <c r="A361" s="8"/>
      <c r="B361" s="8"/>
      <c r="C361" s="8" t="s">
        <v>650</v>
      </c>
      <c r="D361" s="26"/>
      <c r="E361" s="3" t="s">
        <v>525</v>
      </c>
      <c r="F361" s="22" t="e">
        <f>#REF!</f>
        <v>#REF!</v>
      </c>
      <c r="G361" s="22">
        <v>100</v>
      </c>
      <c r="H361" s="22">
        <v>104</v>
      </c>
      <c r="I361" s="22">
        <v>108.2</v>
      </c>
    </row>
    <row r="362" spans="1:9" ht="26.25" x14ac:dyDescent="0.25">
      <c r="A362" s="8"/>
      <c r="B362" s="8"/>
      <c r="C362" s="8"/>
      <c r="D362" s="1" t="s">
        <v>344</v>
      </c>
      <c r="E362" s="2" t="s">
        <v>345</v>
      </c>
      <c r="F362" s="22"/>
      <c r="G362" s="22">
        <v>100</v>
      </c>
      <c r="H362" s="22">
        <v>104</v>
      </c>
      <c r="I362" s="22">
        <v>108.2</v>
      </c>
    </row>
    <row r="363" spans="1:9" ht="26.25" x14ac:dyDescent="0.25">
      <c r="A363" s="52"/>
      <c r="B363" s="52"/>
      <c r="C363" s="52" t="s">
        <v>651</v>
      </c>
      <c r="D363" s="56"/>
      <c r="E363" s="53" t="s">
        <v>526</v>
      </c>
      <c r="F363" s="25">
        <f t="shared" ref="F363:H363" si="83">F364</f>
        <v>754.4</v>
      </c>
      <c r="G363" s="442">
        <f>G364</f>
        <v>6605.8760000000002</v>
      </c>
      <c r="H363" s="442">
        <f t="shared" si="83"/>
        <v>7318.4800000000005</v>
      </c>
      <c r="I363" s="442">
        <f>I364</f>
        <v>7297.4939999999997</v>
      </c>
    </row>
    <row r="364" spans="1:9" ht="25.5" x14ac:dyDescent="0.25">
      <c r="A364" s="8"/>
      <c r="B364" s="8"/>
      <c r="C364" s="8" t="s">
        <v>652</v>
      </c>
      <c r="D364" s="26"/>
      <c r="E364" s="3" t="s">
        <v>527</v>
      </c>
      <c r="F364" s="22">
        <f t="shared" ref="F364:I364" si="84">F366+F367+F368</f>
        <v>754.4</v>
      </c>
      <c r="G364" s="439">
        <f t="shared" si="84"/>
        <v>6605.8760000000002</v>
      </c>
      <c r="H364" s="439">
        <f t="shared" si="84"/>
        <v>7318.4800000000005</v>
      </c>
      <c r="I364" s="439">
        <f t="shared" si="84"/>
        <v>7297.4939999999997</v>
      </c>
    </row>
    <row r="365" spans="1:9" ht="26.25" x14ac:dyDescent="0.25">
      <c r="A365" s="8"/>
      <c r="B365" s="8"/>
      <c r="C365" s="8"/>
      <c r="D365" s="1" t="s">
        <v>344</v>
      </c>
      <c r="E365" s="2" t="s">
        <v>345</v>
      </c>
      <c r="F365" s="22"/>
      <c r="G365" s="439">
        <f>G366+G368+G367</f>
        <v>6605.8760000000002</v>
      </c>
      <c r="H365" s="439">
        <f t="shared" ref="H365:I365" si="85">H366+H368+H367</f>
        <v>7318.4800000000005</v>
      </c>
      <c r="I365" s="439">
        <f t="shared" si="85"/>
        <v>7297.4939999999997</v>
      </c>
    </row>
    <row r="366" spans="1:9" x14ac:dyDescent="0.25">
      <c r="A366" s="8"/>
      <c r="B366" s="8"/>
      <c r="C366" s="8"/>
      <c r="D366" s="11"/>
      <c r="E366" s="5" t="s">
        <v>227</v>
      </c>
      <c r="F366" s="22">
        <v>323.3</v>
      </c>
      <c r="G366" s="439">
        <f>5648+0.024</f>
        <v>5648.0240000000003</v>
      </c>
      <c r="H366" s="439">
        <v>6257.3</v>
      </c>
      <c r="I366" s="439">
        <f>6239.3+0.058</f>
        <v>6239.3580000000002</v>
      </c>
    </row>
    <row r="367" spans="1:9" x14ac:dyDescent="0.25">
      <c r="A367" s="8"/>
      <c r="B367" s="8"/>
      <c r="C367" s="8"/>
      <c r="D367" s="11"/>
      <c r="E367" s="5" t="s">
        <v>224</v>
      </c>
      <c r="F367" s="22">
        <v>323.3</v>
      </c>
      <c r="G367" s="439">
        <f>297.3-0.036</f>
        <v>297.26400000000001</v>
      </c>
      <c r="H367" s="439">
        <f>329.3+0.032</f>
        <v>329.33199999999999</v>
      </c>
      <c r="I367" s="439">
        <f>328.4-0.013</f>
        <v>328.387</v>
      </c>
    </row>
    <row r="368" spans="1:9" x14ac:dyDescent="0.25">
      <c r="A368" s="8"/>
      <c r="B368" s="8"/>
      <c r="C368" s="8"/>
      <c r="D368" s="11"/>
      <c r="E368" s="5" t="s">
        <v>172</v>
      </c>
      <c r="F368" s="22">
        <v>107.8</v>
      </c>
      <c r="G368" s="439">
        <f>660.6-0.012</f>
        <v>660.58800000000008</v>
      </c>
      <c r="H368" s="439">
        <f>731.8+0.048</f>
        <v>731.84799999999996</v>
      </c>
      <c r="I368" s="439">
        <f>729.7+0.049</f>
        <v>729.74900000000002</v>
      </c>
    </row>
    <row r="369" spans="1:11" ht="26.25" x14ac:dyDescent="0.25">
      <c r="A369" s="52"/>
      <c r="B369" s="52"/>
      <c r="C369" s="52" t="s">
        <v>653</v>
      </c>
      <c r="D369" s="56"/>
      <c r="E369" s="53" t="s">
        <v>528</v>
      </c>
      <c r="F369" s="25">
        <f t="shared" ref="F369:I369" si="86">F370</f>
        <v>431.1</v>
      </c>
      <c r="G369" s="442">
        <f t="shared" si="86"/>
        <v>2398.7289999999998</v>
      </c>
      <c r="H369" s="442">
        <f t="shared" si="86"/>
        <v>3010.7310000000002</v>
      </c>
      <c r="I369" s="442">
        <f t="shared" si="86"/>
        <v>2646.1779999999999</v>
      </c>
    </row>
    <row r="370" spans="1:11" ht="25.5" x14ac:dyDescent="0.25">
      <c r="A370" s="111"/>
      <c r="B370" s="111"/>
      <c r="C370" s="8" t="s">
        <v>654</v>
      </c>
      <c r="D370" s="26"/>
      <c r="E370" s="3" t="s">
        <v>529</v>
      </c>
      <c r="F370" s="22">
        <f t="shared" ref="F370:I370" si="87">F372+F373</f>
        <v>431.1</v>
      </c>
      <c r="G370" s="439">
        <f t="shared" si="87"/>
        <v>2398.7289999999998</v>
      </c>
      <c r="H370" s="439">
        <f t="shared" si="87"/>
        <v>3010.7310000000002</v>
      </c>
      <c r="I370" s="439">
        <f t="shared" si="87"/>
        <v>2646.1779999999999</v>
      </c>
    </row>
    <row r="371" spans="1:11" ht="26.25" x14ac:dyDescent="0.25">
      <c r="A371" s="111"/>
      <c r="B371" s="111"/>
      <c r="C371" s="8"/>
      <c r="D371" s="1" t="s">
        <v>344</v>
      </c>
      <c r="E371" s="2" t="s">
        <v>345</v>
      </c>
      <c r="F371" s="22"/>
      <c r="G371" s="439">
        <v>2398.6999999999998</v>
      </c>
      <c r="H371" s="439">
        <v>3010.9</v>
      </c>
      <c r="I371" s="439">
        <f>I372+I373</f>
        <v>2646.1779999999999</v>
      </c>
    </row>
    <row r="372" spans="1:11" x14ac:dyDescent="0.25">
      <c r="A372" s="111"/>
      <c r="B372" s="111"/>
      <c r="C372" s="8"/>
      <c r="D372" s="11"/>
      <c r="E372" s="5" t="s">
        <v>224</v>
      </c>
      <c r="F372" s="22">
        <v>323.3</v>
      </c>
      <c r="G372" s="439">
        <v>2083.529</v>
      </c>
      <c r="H372" s="439">
        <v>2709.7710000000002</v>
      </c>
      <c r="I372" s="439">
        <v>2381.56</v>
      </c>
    </row>
    <row r="373" spans="1:11" x14ac:dyDescent="0.25">
      <c r="A373" s="111"/>
      <c r="B373" s="111"/>
      <c r="C373" s="8"/>
      <c r="D373" s="11"/>
      <c r="E373" s="5" t="s">
        <v>172</v>
      </c>
      <c r="F373" s="22">
        <v>107.8</v>
      </c>
      <c r="G373" s="22">
        <v>315.2</v>
      </c>
      <c r="H373" s="439">
        <v>300.96000000000004</v>
      </c>
      <c r="I373" s="439">
        <v>264.61799999999999</v>
      </c>
    </row>
    <row r="374" spans="1:11" x14ac:dyDescent="0.25">
      <c r="A374" s="115"/>
      <c r="B374" s="27" t="s">
        <v>716</v>
      </c>
      <c r="C374" s="116"/>
      <c r="D374" s="27"/>
      <c r="E374" s="117" t="s">
        <v>717</v>
      </c>
      <c r="F374" s="57"/>
      <c r="G374" s="124">
        <f>G375</f>
        <v>15746.8</v>
      </c>
      <c r="H374" s="124">
        <f t="shared" ref="H374:I376" si="88">H375</f>
        <v>15746.8</v>
      </c>
      <c r="I374" s="124">
        <f t="shared" si="88"/>
        <v>15746.8</v>
      </c>
    </row>
    <row r="375" spans="1:11" ht="25.5" x14ac:dyDescent="0.25">
      <c r="A375" s="115"/>
      <c r="B375" s="27"/>
      <c r="C375" s="116" t="s">
        <v>6</v>
      </c>
      <c r="D375" s="27"/>
      <c r="E375" s="122" t="s">
        <v>7</v>
      </c>
      <c r="F375" s="57"/>
      <c r="G375" s="124">
        <f>G376</f>
        <v>15746.8</v>
      </c>
      <c r="H375" s="124">
        <f t="shared" si="88"/>
        <v>15746.8</v>
      </c>
      <c r="I375" s="124">
        <f t="shared" si="88"/>
        <v>15746.8</v>
      </c>
    </row>
    <row r="376" spans="1:11" ht="25.5" x14ac:dyDescent="0.25">
      <c r="A376" s="129"/>
      <c r="B376" s="130"/>
      <c r="C376" s="131" t="s">
        <v>354</v>
      </c>
      <c r="D376" s="130"/>
      <c r="E376" s="132" t="s">
        <v>355</v>
      </c>
      <c r="F376" s="22" t="e">
        <f>#REF!+#REF!+F377+#REF!</f>
        <v>#REF!</v>
      </c>
      <c r="G376" s="147">
        <f>G377</f>
        <v>15746.8</v>
      </c>
      <c r="H376" s="147">
        <f t="shared" si="88"/>
        <v>15746.8</v>
      </c>
      <c r="I376" s="147">
        <f t="shared" si="88"/>
        <v>15746.8</v>
      </c>
      <c r="K376" s="63"/>
    </row>
    <row r="377" spans="1:11" ht="26.25" x14ac:dyDescent="0.25">
      <c r="A377" s="49"/>
      <c r="B377" s="49"/>
      <c r="C377" s="49" t="s">
        <v>403</v>
      </c>
      <c r="D377" s="49"/>
      <c r="E377" s="82" t="s">
        <v>404</v>
      </c>
      <c r="F377" s="51" t="e">
        <f>#REF!+#REF!+F378+#REF!</f>
        <v>#REF!</v>
      </c>
      <c r="G377" s="51">
        <f>G378</f>
        <v>15746.8</v>
      </c>
      <c r="H377" s="51">
        <f t="shared" ref="H377:I377" si="89">H378</f>
        <v>15746.8</v>
      </c>
      <c r="I377" s="51">
        <f t="shared" si="89"/>
        <v>15746.8</v>
      </c>
    </row>
    <row r="378" spans="1:11" ht="26.25" x14ac:dyDescent="0.25">
      <c r="A378" s="52"/>
      <c r="B378" s="52"/>
      <c r="C378" s="52" t="s">
        <v>437</v>
      </c>
      <c r="D378" s="52"/>
      <c r="E378" s="33" t="s">
        <v>438</v>
      </c>
      <c r="F378" s="25" t="e">
        <f>F379</f>
        <v>#REF!</v>
      </c>
      <c r="G378" s="25">
        <f>G379</f>
        <v>15746.8</v>
      </c>
      <c r="H378" s="25">
        <f>H379</f>
        <v>15746.8</v>
      </c>
      <c r="I378" s="25">
        <f>I379</f>
        <v>15746.8</v>
      </c>
    </row>
    <row r="379" spans="1:11" ht="25.5" x14ac:dyDescent="0.25">
      <c r="A379" s="111"/>
      <c r="B379" s="111"/>
      <c r="C379" s="11" t="s">
        <v>439</v>
      </c>
      <c r="D379" s="11"/>
      <c r="E379" s="34" t="s">
        <v>440</v>
      </c>
      <c r="F379" s="22" t="e">
        <f>#REF!</f>
        <v>#REF!</v>
      </c>
      <c r="G379" s="22">
        <f>14309.4+1437.4</f>
        <v>15746.8</v>
      </c>
      <c r="H379" s="22">
        <f t="shared" ref="H379:I380" si="90">14309.4+1437.4</f>
        <v>15746.8</v>
      </c>
      <c r="I379" s="22">
        <f t="shared" si="90"/>
        <v>15746.8</v>
      </c>
    </row>
    <row r="380" spans="1:11" ht="25.5" x14ac:dyDescent="0.25">
      <c r="A380" s="111"/>
      <c r="B380" s="111"/>
      <c r="C380" s="11"/>
      <c r="D380" s="1" t="s">
        <v>658</v>
      </c>
      <c r="E380" s="3" t="s">
        <v>659</v>
      </c>
      <c r="F380" s="22"/>
      <c r="G380" s="22">
        <f>14309.4+1437.4</f>
        <v>15746.8</v>
      </c>
      <c r="H380" s="22">
        <f t="shared" si="90"/>
        <v>15746.8</v>
      </c>
      <c r="I380" s="22">
        <f t="shared" si="90"/>
        <v>15746.8</v>
      </c>
    </row>
    <row r="381" spans="1:11" x14ac:dyDescent="0.25">
      <c r="A381" s="111"/>
      <c r="B381" s="27" t="s">
        <v>718</v>
      </c>
      <c r="C381" s="116"/>
      <c r="D381" s="115"/>
      <c r="E381" s="117" t="s">
        <v>719</v>
      </c>
      <c r="F381" s="22"/>
      <c r="G381" s="45">
        <f>G382</f>
        <v>72008.100000000006</v>
      </c>
      <c r="H381" s="45">
        <f t="shared" ref="H381:I385" si="91">H382</f>
        <v>14459.5</v>
      </c>
      <c r="I381" s="45">
        <f t="shared" si="91"/>
        <v>54760</v>
      </c>
    </row>
    <row r="382" spans="1:11" x14ac:dyDescent="0.25">
      <c r="A382" s="111"/>
      <c r="B382" s="27" t="s">
        <v>720</v>
      </c>
      <c r="C382" s="116"/>
      <c r="D382" s="115"/>
      <c r="E382" s="117" t="s">
        <v>721</v>
      </c>
      <c r="F382" s="22"/>
      <c r="G382" s="45">
        <f>G383</f>
        <v>72008.100000000006</v>
      </c>
      <c r="H382" s="45">
        <f t="shared" si="91"/>
        <v>14459.5</v>
      </c>
      <c r="I382" s="45">
        <f t="shared" si="91"/>
        <v>54760</v>
      </c>
    </row>
    <row r="383" spans="1:11" ht="25.5" x14ac:dyDescent="0.25">
      <c r="A383" s="111"/>
      <c r="B383" s="27"/>
      <c r="C383" s="116" t="s">
        <v>6</v>
      </c>
      <c r="D383" s="115"/>
      <c r="E383" s="122" t="s">
        <v>7</v>
      </c>
      <c r="F383" s="22"/>
      <c r="G383" s="45">
        <f>G384</f>
        <v>72008.100000000006</v>
      </c>
      <c r="H383" s="45">
        <f t="shared" si="91"/>
        <v>14459.5</v>
      </c>
      <c r="I383" s="45">
        <f t="shared" si="91"/>
        <v>54760</v>
      </c>
    </row>
    <row r="384" spans="1:11" ht="25.5" x14ac:dyDescent="0.25">
      <c r="A384" s="129"/>
      <c r="B384" s="130"/>
      <c r="C384" s="131" t="s">
        <v>65</v>
      </c>
      <c r="D384" s="130"/>
      <c r="E384" s="132" t="s">
        <v>66</v>
      </c>
      <c r="F384" s="22"/>
      <c r="G384" s="147">
        <f>G385</f>
        <v>72008.100000000006</v>
      </c>
      <c r="H384" s="147">
        <f t="shared" si="91"/>
        <v>14459.5</v>
      </c>
      <c r="I384" s="147">
        <f t="shared" si="91"/>
        <v>54760</v>
      </c>
    </row>
    <row r="385" spans="1:9" x14ac:dyDescent="0.25">
      <c r="A385" s="49"/>
      <c r="B385" s="49"/>
      <c r="C385" s="49" t="s">
        <v>85</v>
      </c>
      <c r="D385" s="49"/>
      <c r="E385" s="82" t="s">
        <v>86</v>
      </c>
      <c r="F385" s="51"/>
      <c r="G385" s="51">
        <f>G386</f>
        <v>72008.100000000006</v>
      </c>
      <c r="H385" s="51">
        <f t="shared" si="91"/>
        <v>14459.5</v>
      </c>
      <c r="I385" s="51">
        <f t="shared" si="91"/>
        <v>54760</v>
      </c>
    </row>
    <row r="386" spans="1:9" s="62" customFormat="1" ht="39" x14ac:dyDescent="0.25">
      <c r="A386" s="52"/>
      <c r="B386" s="52"/>
      <c r="C386" s="52" t="s">
        <v>115</v>
      </c>
      <c r="D386" s="52"/>
      <c r="E386" s="53" t="s">
        <v>116</v>
      </c>
      <c r="F386" s="25" t="e">
        <f>F387+F394</f>
        <v>#REF!</v>
      </c>
      <c r="G386" s="25">
        <f>G387+G394</f>
        <v>72008.100000000006</v>
      </c>
      <c r="H386" s="25">
        <f>H387+H394+H392</f>
        <v>14459.5</v>
      </c>
      <c r="I386" s="25">
        <f>I387+I394</f>
        <v>54760</v>
      </c>
    </row>
    <row r="387" spans="1:9" s="62" customFormat="1" ht="25.5" x14ac:dyDescent="0.25">
      <c r="A387" s="112"/>
      <c r="B387" s="112"/>
      <c r="C387" s="11" t="s">
        <v>117</v>
      </c>
      <c r="D387" s="11"/>
      <c r="E387" s="4" t="s">
        <v>118</v>
      </c>
      <c r="F387" s="22" t="e">
        <f>#REF!</f>
        <v>#REF!</v>
      </c>
      <c r="G387" s="22">
        <f>G389+G390+G391</f>
        <v>72008.100000000006</v>
      </c>
      <c r="H387" s="22">
        <f>H389+H390+H391</f>
        <v>10359.5</v>
      </c>
      <c r="I387" s="22">
        <v>0</v>
      </c>
    </row>
    <row r="388" spans="1:9" s="62" customFormat="1" ht="26.25" x14ac:dyDescent="0.25">
      <c r="A388" s="112"/>
      <c r="B388" s="112"/>
      <c r="C388" s="11"/>
      <c r="D388" s="11" t="s">
        <v>371</v>
      </c>
      <c r="E388" s="5" t="s">
        <v>372</v>
      </c>
      <c r="F388" s="22"/>
      <c r="G388" s="22">
        <v>72008.100000000006</v>
      </c>
      <c r="H388" s="22">
        <v>10359.5</v>
      </c>
      <c r="I388" s="22">
        <v>0</v>
      </c>
    </row>
    <row r="389" spans="1:9" x14ac:dyDescent="0.25">
      <c r="A389" s="111"/>
      <c r="B389" s="111"/>
      <c r="C389" s="11"/>
      <c r="D389" s="11"/>
      <c r="E389" s="5" t="s">
        <v>119</v>
      </c>
      <c r="F389" s="22">
        <v>50000</v>
      </c>
      <c r="G389" s="22">
        <v>50000</v>
      </c>
      <c r="H389" s="22">
        <v>0</v>
      </c>
      <c r="I389" s="22">
        <v>0</v>
      </c>
    </row>
    <row r="390" spans="1:9" x14ac:dyDescent="0.25">
      <c r="A390" s="111"/>
      <c r="B390" s="111"/>
      <c r="C390" s="11"/>
      <c r="D390" s="11"/>
      <c r="E390" s="5" t="s">
        <v>120</v>
      </c>
      <c r="F390" s="22">
        <v>8338.9</v>
      </c>
      <c r="G390" s="22">
        <v>8338.9</v>
      </c>
      <c r="H390" s="22">
        <v>10359.5</v>
      </c>
      <c r="I390" s="22">
        <v>0</v>
      </c>
    </row>
    <row r="391" spans="1:9" x14ac:dyDescent="0.25">
      <c r="A391" s="111"/>
      <c r="B391" s="111"/>
      <c r="C391" s="11"/>
      <c r="D391" s="11"/>
      <c r="E391" s="5" t="s">
        <v>121</v>
      </c>
      <c r="F391" s="22">
        <v>13669.2</v>
      </c>
      <c r="G391" s="22">
        <v>13669.2</v>
      </c>
      <c r="H391" s="22">
        <v>0</v>
      </c>
      <c r="I391" s="22">
        <v>0</v>
      </c>
    </row>
    <row r="392" spans="1:9" ht="25.5" x14ac:dyDescent="0.25">
      <c r="A392" s="111"/>
      <c r="B392" s="111"/>
      <c r="C392" s="11" t="s">
        <v>593</v>
      </c>
      <c r="D392" s="11"/>
      <c r="E392" s="104" t="s">
        <v>594</v>
      </c>
      <c r="F392" s="22"/>
      <c r="G392" s="22">
        <v>0</v>
      </c>
      <c r="H392" s="22">
        <v>4100</v>
      </c>
      <c r="I392" s="22">
        <v>0</v>
      </c>
    </row>
    <row r="393" spans="1:9" ht="26.25" x14ac:dyDescent="0.25">
      <c r="A393" s="111"/>
      <c r="B393" s="111"/>
      <c r="C393" s="11"/>
      <c r="D393" s="1" t="s">
        <v>344</v>
      </c>
      <c r="E393" s="2" t="s">
        <v>345</v>
      </c>
      <c r="F393" s="22"/>
      <c r="G393" s="22">
        <v>0</v>
      </c>
      <c r="H393" s="22">
        <v>4100</v>
      </c>
      <c r="I393" s="22">
        <v>0</v>
      </c>
    </row>
    <row r="394" spans="1:9" s="62" customFormat="1" ht="25.5" x14ac:dyDescent="0.25">
      <c r="A394" s="112"/>
      <c r="B394" s="112"/>
      <c r="C394" s="11" t="s">
        <v>595</v>
      </c>
      <c r="D394" s="11"/>
      <c r="E394" s="4" t="s">
        <v>122</v>
      </c>
      <c r="F394" s="22">
        <v>62036.7</v>
      </c>
      <c r="G394" s="22">
        <v>0</v>
      </c>
      <c r="H394" s="22">
        <v>0</v>
      </c>
      <c r="I394" s="22">
        <f>I396+I397</f>
        <v>54760</v>
      </c>
    </row>
    <row r="395" spans="1:9" s="62" customFormat="1" ht="26.25" x14ac:dyDescent="0.25">
      <c r="A395" s="112"/>
      <c r="B395" s="112"/>
      <c r="C395" s="11"/>
      <c r="D395" s="11" t="s">
        <v>371</v>
      </c>
      <c r="E395" s="5" t="s">
        <v>372</v>
      </c>
      <c r="F395" s="22"/>
      <c r="G395" s="22">
        <v>0</v>
      </c>
      <c r="H395" s="22">
        <v>0</v>
      </c>
      <c r="I395" s="22">
        <v>54760</v>
      </c>
    </row>
    <row r="396" spans="1:9" x14ac:dyDescent="0.25">
      <c r="A396" s="111"/>
      <c r="B396" s="111"/>
      <c r="C396" s="11"/>
      <c r="D396" s="11"/>
      <c r="E396" s="5" t="s">
        <v>188</v>
      </c>
      <c r="F396" s="22">
        <v>50000</v>
      </c>
      <c r="G396" s="22">
        <v>0</v>
      </c>
      <c r="H396" s="22">
        <v>0</v>
      </c>
      <c r="I396" s="22">
        <v>49646</v>
      </c>
    </row>
    <row r="397" spans="1:9" x14ac:dyDescent="0.25">
      <c r="A397" s="111"/>
      <c r="B397" s="111"/>
      <c r="C397" s="11"/>
      <c r="D397" s="11"/>
      <c r="E397" s="5" t="s">
        <v>121</v>
      </c>
      <c r="F397" s="22">
        <v>13669.2</v>
      </c>
      <c r="G397" s="22">
        <v>0</v>
      </c>
      <c r="H397" s="22">
        <v>0</v>
      </c>
      <c r="I397" s="22">
        <v>5114</v>
      </c>
    </row>
    <row r="398" spans="1:9" x14ac:dyDescent="0.25">
      <c r="A398" s="115"/>
      <c r="B398" s="27">
        <v>1000</v>
      </c>
      <c r="C398" s="116"/>
      <c r="D398" s="115"/>
      <c r="E398" s="117" t="s">
        <v>722</v>
      </c>
      <c r="F398" s="22"/>
      <c r="G398" s="45">
        <f>G399+G406+G423+G437</f>
        <v>23268.909999999996</v>
      </c>
      <c r="H398" s="45">
        <f t="shared" ref="H398:I398" si="92">H399+H406+H423+H437</f>
        <v>19753.841999999997</v>
      </c>
      <c r="I398" s="45">
        <f t="shared" si="92"/>
        <v>22591.284</v>
      </c>
    </row>
    <row r="399" spans="1:9" x14ac:dyDescent="0.25">
      <c r="A399" s="115"/>
      <c r="B399" s="27" t="s">
        <v>723</v>
      </c>
      <c r="C399" s="116"/>
      <c r="D399" s="115"/>
      <c r="E399" s="122" t="s">
        <v>724</v>
      </c>
      <c r="F399" s="22"/>
      <c r="G399" s="45">
        <f>G400</f>
        <v>7533.3</v>
      </c>
      <c r="H399" s="45">
        <f t="shared" ref="H399:I401" si="93">H400</f>
        <v>7533.3</v>
      </c>
      <c r="I399" s="45">
        <f t="shared" si="93"/>
        <v>7533.3</v>
      </c>
    </row>
    <row r="400" spans="1:9" ht="25.5" x14ac:dyDescent="0.25">
      <c r="A400" s="115"/>
      <c r="B400" s="27"/>
      <c r="C400" s="116" t="s">
        <v>6</v>
      </c>
      <c r="D400" s="27"/>
      <c r="E400" s="122" t="s">
        <v>7</v>
      </c>
      <c r="F400" s="22"/>
      <c r="G400" s="45">
        <f>G401</f>
        <v>7533.3</v>
      </c>
      <c r="H400" s="45">
        <f t="shared" si="93"/>
        <v>7533.3</v>
      </c>
      <c r="I400" s="45">
        <f t="shared" si="93"/>
        <v>7533.3</v>
      </c>
    </row>
    <row r="401" spans="1:9" ht="25.5" x14ac:dyDescent="0.25">
      <c r="A401" s="129"/>
      <c r="B401" s="130"/>
      <c r="C401" s="131" t="s">
        <v>8</v>
      </c>
      <c r="D401" s="130"/>
      <c r="E401" s="132" t="s">
        <v>9</v>
      </c>
      <c r="F401" s="22"/>
      <c r="G401" s="147">
        <f>G402</f>
        <v>7533.3</v>
      </c>
      <c r="H401" s="147">
        <f t="shared" si="93"/>
        <v>7533.3</v>
      </c>
      <c r="I401" s="147">
        <f t="shared" si="93"/>
        <v>7533.3</v>
      </c>
    </row>
    <row r="402" spans="1:9" ht="39" x14ac:dyDescent="0.25">
      <c r="A402" s="49"/>
      <c r="B402" s="49"/>
      <c r="C402" s="49" t="s">
        <v>25</v>
      </c>
      <c r="D402" s="49"/>
      <c r="E402" s="82" t="s">
        <v>26</v>
      </c>
      <c r="F402" s="51" t="e">
        <f>F403</f>
        <v>#VALUE!</v>
      </c>
      <c r="G402" s="51">
        <f>G403</f>
        <v>7533.3</v>
      </c>
      <c r="H402" s="51">
        <f>H403</f>
        <v>7533.3</v>
      </c>
      <c r="I402" s="51">
        <f>I403</f>
        <v>7533.3</v>
      </c>
    </row>
    <row r="403" spans="1:9" ht="39" x14ac:dyDescent="0.25">
      <c r="A403" s="52"/>
      <c r="B403" s="52"/>
      <c r="C403" s="52" t="s">
        <v>27</v>
      </c>
      <c r="D403" s="52"/>
      <c r="E403" s="53" t="s">
        <v>28</v>
      </c>
      <c r="F403" s="25" t="e">
        <f>F8+F406+#REF!+F757+#REF!</f>
        <v>#VALUE!</v>
      </c>
      <c r="G403" s="25">
        <f>G404</f>
        <v>7533.3</v>
      </c>
      <c r="H403" s="25">
        <f t="shared" ref="H403:I403" si="94">H404</f>
        <v>7533.3</v>
      </c>
      <c r="I403" s="25">
        <f t="shared" si="94"/>
        <v>7533.3</v>
      </c>
    </row>
    <row r="404" spans="1:9" ht="26.25" x14ac:dyDescent="0.25">
      <c r="A404" s="111"/>
      <c r="B404" s="111"/>
      <c r="C404" s="11" t="s">
        <v>33</v>
      </c>
      <c r="D404" s="11"/>
      <c r="E404" s="14" t="s">
        <v>34</v>
      </c>
      <c r="F404" s="22" t="e">
        <f>#REF!</f>
        <v>#REF!</v>
      </c>
      <c r="G404" s="22">
        <v>7533.3</v>
      </c>
      <c r="H404" s="22">
        <v>7533.3</v>
      </c>
      <c r="I404" s="22">
        <v>7533.3</v>
      </c>
    </row>
    <row r="405" spans="1:9" x14ac:dyDescent="0.25">
      <c r="A405" s="111"/>
      <c r="B405" s="111"/>
      <c r="C405" s="11"/>
      <c r="D405" s="1" t="s">
        <v>564</v>
      </c>
      <c r="E405" s="2" t="s">
        <v>565</v>
      </c>
      <c r="F405" s="22"/>
      <c r="G405" s="22">
        <v>7533.3</v>
      </c>
      <c r="H405" s="22">
        <v>7533.3</v>
      </c>
      <c r="I405" s="22">
        <v>7533.3</v>
      </c>
    </row>
    <row r="406" spans="1:9" x14ac:dyDescent="0.25">
      <c r="A406" s="115"/>
      <c r="B406" s="27" t="s">
        <v>725</v>
      </c>
      <c r="C406" s="116"/>
      <c r="D406" s="115"/>
      <c r="E406" s="117" t="s">
        <v>726</v>
      </c>
      <c r="F406" s="22"/>
      <c r="G406" s="45">
        <f>G407</f>
        <v>2176.8000000000002</v>
      </c>
      <c r="H406" s="45">
        <f t="shared" ref="H406:I406" si="95">H407</f>
        <v>1958.5</v>
      </c>
      <c r="I406" s="45">
        <f t="shared" si="95"/>
        <v>1789.3</v>
      </c>
    </row>
    <row r="407" spans="1:9" ht="25.5" x14ac:dyDescent="0.25">
      <c r="A407" s="115"/>
      <c r="B407" s="27"/>
      <c r="C407" s="116" t="s">
        <v>6</v>
      </c>
      <c r="D407" s="27"/>
      <c r="E407" s="122" t="s">
        <v>7</v>
      </c>
      <c r="F407" s="45"/>
      <c r="G407" s="45">
        <f>G408+G412+G416</f>
        <v>2176.8000000000002</v>
      </c>
      <c r="H407" s="45">
        <f t="shared" ref="H407:I407" si="96">H408+H412+H416</f>
        <v>1958.5</v>
      </c>
      <c r="I407" s="45">
        <f t="shared" si="96"/>
        <v>1789.3</v>
      </c>
    </row>
    <row r="408" spans="1:9" ht="25.5" x14ac:dyDescent="0.25">
      <c r="A408" s="129"/>
      <c r="B408" s="130"/>
      <c r="C408" s="131" t="s">
        <v>218</v>
      </c>
      <c r="D408" s="130"/>
      <c r="E408" s="132" t="s">
        <v>727</v>
      </c>
      <c r="F408" s="22"/>
      <c r="G408" s="147">
        <f>G409</f>
        <v>1735</v>
      </c>
      <c r="H408" s="147">
        <f t="shared" ref="H408:I408" si="97">H409</f>
        <v>0</v>
      </c>
      <c r="I408" s="147">
        <f t="shared" si="97"/>
        <v>0</v>
      </c>
    </row>
    <row r="409" spans="1:9" ht="26.25" x14ac:dyDescent="0.25">
      <c r="A409" s="52"/>
      <c r="B409" s="52"/>
      <c r="C409" s="52" t="s">
        <v>228</v>
      </c>
      <c r="D409" s="52"/>
      <c r="E409" s="53" t="s">
        <v>229</v>
      </c>
      <c r="F409" s="25" t="e">
        <f>F410+#REF!</f>
        <v>#REF!</v>
      </c>
      <c r="G409" s="25">
        <f>G410</f>
        <v>1735</v>
      </c>
      <c r="H409" s="25">
        <f t="shared" ref="H409:I409" si="98">H410</f>
        <v>0</v>
      </c>
      <c r="I409" s="25">
        <f t="shared" si="98"/>
        <v>0</v>
      </c>
    </row>
    <row r="410" spans="1:9" ht="39" x14ac:dyDescent="0.25">
      <c r="A410" s="111"/>
      <c r="B410" s="111"/>
      <c r="C410" s="11" t="s">
        <v>230</v>
      </c>
      <c r="D410" s="11"/>
      <c r="E410" s="5" t="s">
        <v>231</v>
      </c>
      <c r="F410" s="22" t="e">
        <f>#REF!+#REF!</f>
        <v>#REF!</v>
      </c>
      <c r="G410" s="22">
        <v>1735</v>
      </c>
      <c r="H410" s="22">
        <v>0</v>
      </c>
      <c r="I410" s="22">
        <v>0</v>
      </c>
    </row>
    <row r="411" spans="1:9" x14ac:dyDescent="0.25">
      <c r="A411" s="111"/>
      <c r="B411" s="111"/>
      <c r="C411" s="11"/>
      <c r="D411" s="1" t="s">
        <v>564</v>
      </c>
      <c r="E411" s="2" t="s">
        <v>565</v>
      </c>
      <c r="F411" s="22"/>
      <c r="G411" s="22">
        <v>1735</v>
      </c>
      <c r="H411" s="22">
        <v>0</v>
      </c>
      <c r="I411" s="22">
        <v>0</v>
      </c>
    </row>
    <row r="412" spans="1:9" ht="25.5" x14ac:dyDescent="0.25">
      <c r="A412" s="129"/>
      <c r="B412" s="130"/>
      <c r="C412" s="131" t="s">
        <v>242</v>
      </c>
      <c r="D412" s="130"/>
      <c r="E412" s="132" t="s">
        <v>243</v>
      </c>
      <c r="F412" s="22"/>
      <c r="G412" s="147">
        <f>G413</f>
        <v>441.8</v>
      </c>
      <c r="H412" s="147">
        <f t="shared" ref="H412:I414" si="99">H413</f>
        <v>0</v>
      </c>
      <c r="I412" s="147">
        <f t="shared" si="99"/>
        <v>0</v>
      </c>
    </row>
    <row r="413" spans="1:9" ht="26.25" x14ac:dyDescent="0.25">
      <c r="A413" s="52"/>
      <c r="B413" s="52"/>
      <c r="C413" s="52" t="s">
        <v>244</v>
      </c>
      <c r="D413" s="52"/>
      <c r="E413" s="53" t="s">
        <v>710</v>
      </c>
      <c r="F413" s="25"/>
      <c r="G413" s="25">
        <f>G414</f>
        <v>441.8</v>
      </c>
      <c r="H413" s="25">
        <f t="shared" si="99"/>
        <v>0</v>
      </c>
      <c r="I413" s="25">
        <f t="shared" si="99"/>
        <v>0</v>
      </c>
    </row>
    <row r="414" spans="1:9" ht="26.25" x14ac:dyDescent="0.25">
      <c r="A414" s="111"/>
      <c r="B414" s="111"/>
      <c r="C414" s="11" t="s">
        <v>249</v>
      </c>
      <c r="D414" s="11"/>
      <c r="E414" s="21" t="s">
        <v>250</v>
      </c>
      <c r="F414" s="22" t="e">
        <f>#REF!+#REF!</f>
        <v>#REF!</v>
      </c>
      <c r="G414" s="22">
        <f>G415</f>
        <v>441.8</v>
      </c>
      <c r="H414" s="22">
        <f t="shared" si="99"/>
        <v>0</v>
      </c>
      <c r="I414" s="22">
        <f t="shared" si="99"/>
        <v>0</v>
      </c>
    </row>
    <row r="415" spans="1:9" x14ac:dyDescent="0.25">
      <c r="A415" s="111"/>
      <c r="B415" s="111"/>
      <c r="C415" s="11"/>
      <c r="D415" s="1" t="s">
        <v>564</v>
      </c>
      <c r="E415" s="2" t="s">
        <v>565</v>
      </c>
      <c r="F415" s="22"/>
      <c r="G415" s="22">
        <v>441.8</v>
      </c>
      <c r="H415" s="22">
        <v>0</v>
      </c>
      <c r="I415" s="22">
        <v>0</v>
      </c>
    </row>
    <row r="416" spans="1:9" ht="25.5" x14ac:dyDescent="0.25">
      <c r="A416" s="129"/>
      <c r="B416" s="130"/>
      <c r="C416" s="131" t="s">
        <v>354</v>
      </c>
      <c r="D416" s="130"/>
      <c r="E416" s="132" t="s">
        <v>355</v>
      </c>
      <c r="F416" s="22" t="e">
        <f>F417+F613+F499+#REF!</f>
        <v>#REF!</v>
      </c>
      <c r="G416" s="147">
        <f>G417</f>
        <v>0</v>
      </c>
      <c r="H416" s="147">
        <f t="shared" ref="H416:I416" si="100">H417</f>
        <v>1958.5</v>
      </c>
      <c r="I416" s="147">
        <f t="shared" si="100"/>
        <v>1789.3</v>
      </c>
    </row>
    <row r="417" spans="1:9" x14ac:dyDescent="0.25">
      <c r="A417" s="49"/>
      <c r="B417" s="49"/>
      <c r="C417" s="49" t="s">
        <v>356</v>
      </c>
      <c r="D417" s="49"/>
      <c r="E417" s="82" t="s">
        <v>357</v>
      </c>
      <c r="F417" s="51" t="e">
        <f>F418+#REF!</f>
        <v>#REF!</v>
      </c>
      <c r="G417" s="51">
        <f>G418</f>
        <v>0</v>
      </c>
      <c r="H417" s="51">
        <f t="shared" ref="H417:I417" si="101">H418</f>
        <v>1958.5</v>
      </c>
      <c r="I417" s="51">
        <f t="shared" si="101"/>
        <v>1789.3</v>
      </c>
    </row>
    <row r="418" spans="1:9" ht="49.5" customHeight="1" x14ac:dyDescent="0.25">
      <c r="A418" s="52"/>
      <c r="B418" s="52"/>
      <c r="C418" s="52" t="s">
        <v>358</v>
      </c>
      <c r="D418" s="52"/>
      <c r="E418" s="33" t="s">
        <v>359</v>
      </c>
      <c r="F418" s="25" t="e">
        <f>F419+F443</f>
        <v>#REF!</v>
      </c>
      <c r="G418" s="25">
        <f>G419</f>
        <v>0</v>
      </c>
      <c r="H418" s="25">
        <f t="shared" ref="H418:I418" si="102">H419</f>
        <v>1958.5</v>
      </c>
      <c r="I418" s="25">
        <f t="shared" si="102"/>
        <v>1789.3</v>
      </c>
    </row>
    <row r="419" spans="1:9" ht="26.25" x14ac:dyDescent="0.25">
      <c r="A419" s="111"/>
      <c r="B419" s="111"/>
      <c r="C419" s="107" t="s">
        <v>361</v>
      </c>
      <c r="D419" s="20"/>
      <c r="E419" s="84" t="s">
        <v>660</v>
      </c>
      <c r="F419" s="19" t="e">
        <f>#REF!</f>
        <v>#REF!</v>
      </c>
      <c r="G419" s="19">
        <v>0</v>
      </c>
      <c r="H419" s="22">
        <f>H421+H422</f>
        <v>1958.5</v>
      </c>
      <c r="I419" s="22">
        <f>I421+I422</f>
        <v>1789.3</v>
      </c>
    </row>
    <row r="420" spans="1:9" x14ac:dyDescent="0.25">
      <c r="A420" s="111"/>
      <c r="B420" s="111"/>
      <c r="C420" s="36"/>
      <c r="D420" s="1" t="s">
        <v>564</v>
      </c>
      <c r="E420" s="2" t="s">
        <v>565</v>
      </c>
      <c r="F420" s="19"/>
      <c r="G420" s="19">
        <v>0</v>
      </c>
      <c r="H420" s="22">
        <v>1958.5</v>
      </c>
      <c r="I420" s="22">
        <v>1789.3</v>
      </c>
    </row>
    <row r="421" spans="1:9" x14ac:dyDescent="0.25">
      <c r="A421" s="111"/>
      <c r="B421" s="111"/>
      <c r="C421" s="36"/>
      <c r="D421" s="20"/>
      <c r="E421" s="84" t="s">
        <v>255</v>
      </c>
      <c r="F421" s="22">
        <v>0</v>
      </c>
      <c r="G421" s="22">
        <v>0</v>
      </c>
      <c r="H421" s="22">
        <v>1468.9</v>
      </c>
      <c r="I421" s="22">
        <v>1342</v>
      </c>
    </row>
    <row r="422" spans="1:9" x14ac:dyDescent="0.25">
      <c r="A422" s="111"/>
      <c r="B422" s="111"/>
      <c r="C422" s="36"/>
      <c r="D422" s="20"/>
      <c r="E422" s="84" t="s">
        <v>362</v>
      </c>
      <c r="F422" s="22">
        <v>0</v>
      </c>
      <c r="G422" s="22">
        <v>0</v>
      </c>
      <c r="H422" s="22">
        <v>489.6</v>
      </c>
      <c r="I422" s="22">
        <v>447.3</v>
      </c>
    </row>
    <row r="423" spans="1:9" x14ac:dyDescent="0.25">
      <c r="A423" s="111"/>
      <c r="B423" s="27">
        <v>1004</v>
      </c>
      <c r="C423" s="116"/>
      <c r="D423" s="115"/>
      <c r="E423" s="117" t="s">
        <v>728</v>
      </c>
      <c r="F423" s="22"/>
      <c r="G423" s="45">
        <f>G424</f>
        <v>13463.71</v>
      </c>
      <c r="H423" s="45">
        <f t="shared" ref="H423:I424" si="103">H424</f>
        <v>10159.041999999999</v>
      </c>
      <c r="I423" s="45">
        <f t="shared" si="103"/>
        <v>13125.684000000001</v>
      </c>
    </row>
    <row r="424" spans="1:9" x14ac:dyDescent="0.25">
      <c r="A424" s="111"/>
      <c r="B424" s="27"/>
      <c r="C424" s="116" t="s">
        <v>6</v>
      </c>
      <c r="D424" s="27"/>
      <c r="E424" s="122" t="s">
        <v>693</v>
      </c>
      <c r="F424" s="22"/>
      <c r="G424" s="45">
        <f>G425</f>
        <v>13463.71</v>
      </c>
      <c r="H424" s="45">
        <f t="shared" si="103"/>
        <v>10159.041999999999</v>
      </c>
      <c r="I424" s="45">
        <f t="shared" si="103"/>
        <v>13125.684000000001</v>
      </c>
    </row>
    <row r="425" spans="1:9" ht="37.5" customHeight="1" x14ac:dyDescent="0.25">
      <c r="A425" s="129"/>
      <c r="B425" s="130"/>
      <c r="C425" s="131" t="s">
        <v>218</v>
      </c>
      <c r="D425" s="130"/>
      <c r="E425" s="132" t="s">
        <v>219</v>
      </c>
      <c r="F425" s="22" t="e">
        <f>F426+F409+F434+#REF!+F260</f>
        <v>#REF!</v>
      </c>
      <c r="G425" s="147">
        <f>G426+G434</f>
        <v>13463.71</v>
      </c>
      <c r="H425" s="147">
        <f>H426+H409+H434+H260</f>
        <v>10159.041999999999</v>
      </c>
      <c r="I425" s="147">
        <f>I426+I409+I434+I260</f>
        <v>13125.684000000001</v>
      </c>
    </row>
    <row r="426" spans="1:9" x14ac:dyDescent="0.25">
      <c r="A426" s="52"/>
      <c r="B426" s="52"/>
      <c r="C426" s="52" t="s">
        <v>220</v>
      </c>
      <c r="D426" s="52"/>
      <c r="E426" s="53" t="s">
        <v>221</v>
      </c>
      <c r="F426" s="25" t="e">
        <f>F429+#REF!</f>
        <v>#REF!</v>
      </c>
      <c r="G426" s="442">
        <f>G429+G427</f>
        <v>10702.81</v>
      </c>
      <c r="H426" s="442">
        <f t="shared" ref="H426:I426" si="104">H429+H427</f>
        <v>7398.1419999999998</v>
      </c>
      <c r="I426" s="442">
        <f t="shared" si="104"/>
        <v>7603.884</v>
      </c>
    </row>
    <row r="427" spans="1:9" s="62" customFormat="1" x14ac:dyDescent="0.25">
      <c r="A427" s="20"/>
      <c r="B427" s="20"/>
      <c r="C427" s="11" t="s">
        <v>222</v>
      </c>
      <c r="D427" s="11"/>
      <c r="E427" s="5" t="s">
        <v>223</v>
      </c>
      <c r="F427" s="45"/>
      <c r="G427" s="439">
        <f>G428</f>
        <v>8942.81</v>
      </c>
      <c r="H427" s="439">
        <f t="shared" ref="H427:I427" si="105">H428</f>
        <v>7398.1419999999998</v>
      </c>
      <c r="I427" s="439">
        <f t="shared" si="105"/>
        <v>7603.884</v>
      </c>
    </row>
    <row r="428" spans="1:9" s="62" customFormat="1" x14ac:dyDescent="0.25">
      <c r="A428" s="20"/>
      <c r="B428" s="20"/>
      <c r="C428" s="11"/>
      <c r="D428" s="1" t="s">
        <v>564</v>
      </c>
      <c r="E428" s="2" t="s">
        <v>565</v>
      </c>
      <c r="F428" s="45"/>
      <c r="G428" s="439">
        <v>8942.81</v>
      </c>
      <c r="H428" s="439">
        <v>7398.1419999999998</v>
      </c>
      <c r="I428" s="439">
        <v>7603.884</v>
      </c>
    </row>
    <row r="429" spans="1:9" ht="51.75" x14ac:dyDescent="0.25">
      <c r="A429" s="11"/>
      <c r="B429" s="11"/>
      <c r="C429" s="11" t="s">
        <v>225</v>
      </c>
      <c r="D429" s="11"/>
      <c r="E429" s="5" t="s">
        <v>226</v>
      </c>
      <c r="F429" s="22" t="e">
        <f>#REF!</f>
        <v>#REF!</v>
      </c>
      <c r="G429" s="22">
        <v>1760</v>
      </c>
      <c r="H429" s="22">
        <v>0</v>
      </c>
      <c r="I429" s="22">
        <v>0</v>
      </c>
    </row>
    <row r="430" spans="1:9" x14ac:dyDescent="0.25">
      <c r="A430" s="11"/>
      <c r="B430" s="11"/>
      <c r="C430" s="11"/>
      <c r="D430" s="1" t="s">
        <v>564</v>
      </c>
      <c r="E430" s="2" t="s">
        <v>565</v>
      </c>
      <c r="F430" s="22"/>
      <c r="G430" s="22">
        <v>1760</v>
      </c>
      <c r="H430" s="22">
        <v>0</v>
      </c>
      <c r="I430" s="22">
        <v>0</v>
      </c>
    </row>
    <row r="431" spans="1:9" x14ac:dyDescent="0.25">
      <c r="A431" s="11"/>
      <c r="B431" s="11"/>
      <c r="C431" s="11"/>
      <c r="D431" s="11"/>
      <c r="E431" s="5" t="s">
        <v>227</v>
      </c>
      <c r="F431" s="22"/>
      <c r="G431" s="22">
        <v>0</v>
      </c>
      <c r="H431" s="22">
        <v>0</v>
      </c>
      <c r="I431" s="22">
        <v>0</v>
      </c>
    </row>
    <row r="432" spans="1:9" x14ac:dyDescent="0.25">
      <c r="A432" s="11"/>
      <c r="B432" s="11"/>
      <c r="C432" s="11"/>
      <c r="D432" s="11"/>
      <c r="E432" s="5" t="s">
        <v>224</v>
      </c>
      <c r="F432" s="22"/>
      <c r="G432" s="22">
        <v>0</v>
      </c>
      <c r="H432" s="22">
        <v>0</v>
      </c>
      <c r="I432" s="22">
        <v>0</v>
      </c>
    </row>
    <row r="433" spans="1:9" x14ac:dyDescent="0.25">
      <c r="A433" s="11"/>
      <c r="B433" s="11"/>
      <c r="C433" s="11"/>
      <c r="D433" s="11"/>
      <c r="E433" s="5" t="s">
        <v>172</v>
      </c>
      <c r="F433" s="22">
        <v>0</v>
      </c>
      <c r="G433" s="22">
        <v>1760</v>
      </c>
      <c r="H433" s="22">
        <v>0</v>
      </c>
      <c r="I433" s="22">
        <v>0</v>
      </c>
    </row>
    <row r="434" spans="1:9" ht="39" x14ac:dyDescent="0.25">
      <c r="A434" s="52"/>
      <c r="B434" s="52"/>
      <c r="C434" s="52" t="s">
        <v>232</v>
      </c>
      <c r="D434" s="52"/>
      <c r="E434" s="53" t="s">
        <v>233</v>
      </c>
      <c r="F434" s="25" t="e">
        <f>F441+F435+#REF!</f>
        <v>#REF!</v>
      </c>
      <c r="G434" s="25">
        <f>G435</f>
        <v>2760.9</v>
      </c>
      <c r="H434" s="25">
        <f t="shared" ref="H434:I434" si="106">H435</f>
        <v>2760.9</v>
      </c>
      <c r="I434" s="25">
        <f t="shared" si="106"/>
        <v>5521.8</v>
      </c>
    </row>
    <row r="435" spans="1:9" ht="64.5" x14ac:dyDescent="0.25">
      <c r="A435" s="111"/>
      <c r="B435" s="111"/>
      <c r="C435" s="11" t="s">
        <v>236</v>
      </c>
      <c r="D435" s="11"/>
      <c r="E435" s="73" t="s">
        <v>237</v>
      </c>
      <c r="F435" s="22" t="e">
        <f>#REF!</f>
        <v>#REF!</v>
      </c>
      <c r="G435" s="22">
        <v>2760.9</v>
      </c>
      <c r="H435" s="22">
        <v>2760.9</v>
      </c>
      <c r="I435" s="22">
        <v>5521.8</v>
      </c>
    </row>
    <row r="436" spans="1:9" ht="26.25" x14ac:dyDescent="0.25">
      <c r="A436" s="111"/>
      <c r="B436" s="111"/>
      <c r="C436" s="11"/>
      <c r="D436" s="1" t="s">
        <v>371</v>
      </c>
      <c r="E436" s="2" t="s">
        <v>372</v>
      </c>
      <c r="F436" s="22"/>
      <c r="G436" s="22">
        <v>2760.9</v>
      </c>
      <c r="H436" s="22">
        <v>2760.9</v>
      </c>
      <c r="I436" s="22">
        <v>5521.8</v>
      </c>
    </row>
    <row r="437" spans="1:9" x14ac:dyDescent="0.25">
      <c r="A437" s="111"/>
      <c r="B437" s="27" t="s">
        <v>729</v>
      </c>
      <c r="C437" s="116"/>
      <c r="D437" s="115"/>
      <c r="E437" s="117" t="s">
        <v>730</v>
      </c>
      <c r="F437" s="22"/>
      <c r="G437" s="45">
        <f>G438</f>
        <v>95.1</v>
      </c>
      <c r="H437" s="45">
        <f t="shared" ref="H437:H439" si="107">H438</f>
        <v>103</v>
      </c>
      <c r="I437" s="45">
        <f t="shared" ref="I437:I439" si="108">I438</f>
        <v>143</v>
      </c>
    </row>
    <row r="438" spans="1:9" x14ac:dyDescent="0.25">
      <c r="A438" s="111"/>
      <c r="B438" s="27"/>
      <c r="C438" s="116" t="s">
        <v>6</v>
      </c>
      <c r="D438" s="27"/>
      <c r="E438" s="122" t="s">
        <v>693</v>
      </c>
      <c r="F438" s="22"/>
      <c r="G438" s="45">
        <f>G439</f>
        <v>95.1</v>
      </c>
      <c r="H438" s="45">
        <f t="shared" si="107"/>
        <v>103</v>
      </c>
      <c r="I438" s="45">
        <f t="shared" si="108"/>
        <v>143</v>
      </c>
    </row>
    <row r="439" spans="1:9" ht="25.5" x14ac:dyDescent="0.25">
      <c r="A439" s="129"/>
      <c r="B439" s="130"/>
      <c r="C439" s="131" t="s">
        <v>218</v>
      </c>
      <c r="D439" s="130"/>
      <c r="E439" s="132" t="s">
        <v>219</v>
      </c>
      <c r="F439" s="22" t="e">
        <f>F441+F421+F757+#REF!+F272</f>
        <v>#REF!</v>
      </c>
      <c r="G439" s="147">
        <f>G440</f>
        <v>95.1</v>
      </c>
      <c r="H439" s="147">
        <f t="shared" si="107"/>
        <v>103</v>
      </c>
      <c r="I439" s="147">
        <f t="shared" si="108"/>
        <v>143</v>
      </c>
    </row>
    <row r="440" spans="1:9" ht="39" x14ac:dyDescent="0.25">
      <c r="A440" s="52"/>
      <c r="B440" s="52"/>
      <c r="C440" s="52" t="s">
        <v>232</v>
      </c>
      <c r="D440" s="52"/>
      <c r="E440" s="53" t="s">
        <v>233</v>
      </c>
      <c r="F440" s="25" t="e">
        <f>F757+F441+#REF!</f>
        <v>#REF!</v>
      </c>
      <c r="G440" s="25">
        <f>G441</f>
        <v>95.1</v>
      </c>
      <c r="H440" s="25">
        <f t="shared" ref="H440" si="109">H441</f>
        <v>103</v>
      </c>
      <c r="I440" s="25">
        <f t="shared" ref="I440" si="110">I441</f>
        <v>143</v>
      </c>
    </row>
    <row r="441" spans="1:9" ht="39" x14ac:dyDescent="0.25">
      <c r="A441" s="111"/>
      <c r="B441" s="111"/>
      <c r="C441" s="11" t="s">
        <v>234</v>
      </c>
      <c r="D441" s="11"/>
      <c r="E441" s="5" t="s">
        <v>235</v>
      </c>
      <c r="F441" s="22" t="e">
        <f>#REF!</f>
        <v>#REF!</v>
      </c>
      <c r="G441" s="22">
        <v>95.1</v>
      </c>
      <c r="H441" s="22">
        <v>103</v>
      </c>
      <c r="I441" s="22">
        <v>143</v>
      </c>
    </row>
    <row r="442" spans="1:9" ht="30" customHeight="1" x14ac:dyDescent="0.25">
      <c r="A442" s="111"/>
      <c r="B442" s="111"/>
      <c r="C442" s="11"/>
      <c r="D442" s="1" t="s">
        <v>344</v>
      </c>
      <c r="E442" s="2" t="s">
        <v>345</v>
      </c>
      <c r="F442" s="22"/>
      <c r="G442" s="22">
        <v>95.1</v>
      </c>
      <c r="H442" s="22">
        <v>103</v>
      </c>
      <c r="I442" s="22">
        <v>143</v>
      </c>
    </row>
    <row r="443" spans="1:9" ht="25.5" x14ac:dyDescent="0.25">
      <c r="A443" s="113">
        <v>611</v>
      </c>
      <c r="B443" s="150"/>
      <c r="C443" s="151"/>
      <c r="D443" s="113"/>
      <c r="E443" s="114" t="s">
        <v>731</v>
      </c>
      <c r="F443" s="22"/>
      <c r="G443" s="153">
        <f>G444+G452+G580+G615</f>
        <v>429703.32200000004</v>
      </c>
      <c r="H443" s="153">
        <f t="shared" ref="H443:I443" si="111">H444+H452+H580+H615</f>
        <v>421828.3000000001</v>
      </c>
      <c r="I443" s="153">
        <f t="shared" si="111"/>
        <v>419953.90000000008</v>
      </c>
    </row>
    <row r="444" spans="1:9" x14ac:dyDescent="0.25">
      <c r="A444" s="115"/>
      <c r="B444" s="27" t="s">
        <v>666</v>
      </c>
      <c r="C444" s="116"/>
      <c r="D444" s="115"/>
      <c r="E444" s="117" t="s">
        <v>1388</v>
      </c>
      <c r="F444" s="22"/>
      <c r="G444" s="45">
        <f>G445</f>
        <v>9</v>
      </c>
      <c r="H444" s="45">
        <f t="shared" ref="H444:I446" si="112">H445</f>
        <v>9.4</v>
      </c>
      <c r="I444" s="45">
        <f t="shared" si="112"/>
        <v>9.6999999999999993</v>
      </c>
    </row>
    <row r="445" spans="1:9" x14ac:dyDescent="0.25">
      <c r="A445" s="115"/>
      <c r="B445" s="27" t="s">
        <v>678</v>
      </c>
      <c r="C445" s="116"/>
      <c r="D445" s="115"/>
      <c r="E445" s="117" t="s">
        <v>679</v>
      </c>
      <c r="F445" s="22"/>
      <c r="G445" s="45">
        <f>G446</f>
        <v>9</v>
      </c>
      <c r="H445" s="45">
        <f t="shared" si="112"/>
        <v>9.4</v>
      </c>
      <c r="I445" s="45">
        <f t="shared" si="112"/>
        <v>9.6999999999999993</v>
      </c>
    </row>
    <row r="446" spans="1:9" ht="25.5" x14ac:dyDescent="0.25">
      <c r="A446" s="115"/>
      <c r="B446" s="27"/>
      <c r="C446" s="116" t="s">
        <v>6</v>
      </c>
      <c r="D446" s="115"/>
      <c r="E446" s="122" t="s">
        <v>7</v>
      </c>
      <c r="F446" s="57"/>
      <c r="G446" s="124">
        <f>G447</f>
        <v>9</v>
      </c>
      <c r="H446" s="124">
        <f t="shared" si="112"/>
        <v>9.4</v>
      </c>
      <c r="I446" s="124">
        <f t="shared" si="112"/>
        <v>9.6999999999999993</v>
      </c>
    </row>
    <row r="447" spans="1:9" ht="25.5" x14ac:dyDescent="0.25">
      <c r="A447" s="129"/>
      <c r="B447" s="130"/>
      <c r="C447" s="131" t="s">
        <v>195</v>
      </c>
      <c r="D447" s="130"/>
      <c r="E447" s="132" t="s">
        <v>196</v>
      </c>
      <c r="F447" s="22" t="e">
        <f>#REF!+F448+F757+F783</f>
        <v>#REF!</v>
      </c>
      <c r="G447" s="147">
        <f>G448</f>
        <v>9</v>
      </c>
      <c r="H447" s="147">
        <f t="shared" ref="H447:I447" si="113">H448</f>
        <v>9.4</v>
      </c>
      <c r="I447" s="147">
        <f t="shared" si="113"/>
        <v>9.6999999999999993</v>
      </c>
    </row>
    <row r="448" spans="1:9" ht="26.25" x14ac:dyDescent="0.25">
      <c r="A448" s="49"/>
      <c r="B448" s="49"/>
      <c r="C448" s="49" t="s">
        <v>203</v>
      </c>
      <c r="D448" s="49"/>
      <c r="E448" s="50" t="s">
        <v>204</v>
      </c>
      <c r="F448" s="51" t="e">
        <f>F449</f>
        <v>#REF!</v>
      </c>
      <c r="G448" s="51">
        <f>G449</f>
        <v>9</v>
      </c>
      <c r="H448" s="51">
        <f>H449</f>
        <v>9.4</v>
      </c>
      <c r="I448" s="51">
        <f>I449</f>
        <v>9.6999999999999993</v>
      </c>
    </row>
    <row r="449" spans="1:11" ht="26.25" x14ac:dyDescent="0.25">
      <c r="A449" s="52"/>
      <c r="B449" s="52"/>
      <c r="C449" s="52" t="s">
        <v>205</v>
      </c>
      <c r="D449" s="52"/>
      <c r="E449" s="53" t="s">
        <v>206</v>
      </c>
      <c r="F449" s="25" t="e">
        <f t="shared" ref="F449:I449" si="114">F450</f>
        <v>#REF!</v>
      </c>
      <c r="G449" s="25">
        <f t="shared" si="114"/>
        <v>9</v>
      </c>
      <c r="H449" s="25">
        <f t="shared" si="114"/>
        <v>9.4</v>
      </c>
      <c r="I449" s="25">
        <f t="shared" si="114"/>
        <v>9.6999999999999993</v>
      </c>
    </row>
    <row r="450" spans="1:11" ht="26.25" x14ac:dyDescent="0.25">
      <c r="A450" s="111"/>
      <c r="B450" s="111"/>
      <c r="C450" s="11" t="s">
        <v>207</v>
      </c>
      <c r="D450" s="11"/>
      <c r="E450" s="5" t="s">
        <v>208</v>
      </c>
      <c r="F450" s="22" t="e">
        <f>#REF!</f>
        <v>#REF!</v>
      </c>
      <c r="G450" s="22">
        <v>9</v>
      </c>
      <c r="H450" s="22">
        <v>9.4</v>
      </c>
      <c r="I450" s="22">
        <v>9.6999999999999993</v>
      </c>
    </row>
    <row r="451" spans="1:11" ht="26.25" x14ac:dyDescent="0.25">
      <c r="A451" s="111"/>
      <c r="B451" s="111"/>
      <c r="C451" s="11"/>
      <c r="D451" s="1" t="s">
        <v>658</v>
      </c>
      <c r="E451" s="2" t="s">
        <v>659</v>
      </c>
      <c r="F451" s="22"/>
      <c r="G451" s="22">
        <v>9</v>
      </c>
      <c r="H451" s="22">
        <v>9.4</v>
      </c>
      <c r="I451" s="22">
        <v>9.6999999999999993</v>
      </c>
    </row>
    <row r="452" spans="1:11" x14ac:dyDescent="0.25">
      <c r="A452" s="110"/>
      <c r="B452" s="27" t="s">
        <v>718</v>
      </c>
      <c r="C452" s="116"/>
      <c r="D452" s="115"/>
      <c r="E452" s="117" t="s">
        <v>719</v>
      </c>
      <c r="F452" s="22"/>
      <c r="G452" s="45">
        <f>G453+G478+G527+G536+G549</f>
        <v>393106.91000000003</v>
      </c>
      <c r="H452" s="45">
        <f>H453+H478+H527+H536+H549</f>
        <v>388692.70000000007</v>
      </c>
      <c r="I452" s="45">
        <f>I453+I478+I527+I536+I549</f>
        <v>383804.00000000006</v>
      </c>
    </row>
    <row r="453" spans="1:11" x14ac:dyDescent="0.25">
      <c r="A453" s="110"/>
      <c r="B453" s="27" t="s">
        <v>732</v>
      </c>
      <c r="C453" s="116"/>
      <c r="D453" s="115"/>
      <c r="E453" s="117" t="s">
        <v>733</v>
      </c>
      <c r="F453" s="22"/>
      <c r="G453" s="45">
        <f>G454</f>
        <v>101075.76899999999</v>
      </c>
      <c r="H453" s="45">
        <f t="shared" ref="H453:I454" si="115">H454</f>
        <v>93544.2</v>
      </c>
      <c r="I453" s="45">
        <f t="shared" si="115"/>
        <v>90550.399999999994</v>
      </c>
    </row>
    <row r="454" spans="1:11" s="67" customFormat="1" x14ac:dyDescent="0.25">
      <c r="A454" s="115"/>
      <c r="B454" s="27"/>
      <c r="C454" s="116" t="s">
        <v>6</v>
      </c>
      <c r="D454" s="115"/>
      <c r="E454" s="122" t="s">
        <v>693</v>
      </c>
      <c r="F454" s="45"/>
      <c r="G454" s="45">
        <f>G455</f>
        <v>101075.76899999999</v>
      </c>
      <c r="H454" s="45">
        <f t="shared" si="115"/>
        <v>93544.2</v>
      </c>
      <c r="I454" s="45">
        <f t="shared" si="115"/>
        <v>90550.399999999994</v>
      </c>
    </row>
    <row r="455" spans="1:11" ht="25.5" x14ac:dyDescent="0.25">
      <c r="A455" s="129"/>
      <c r="B455" s="130"/>
      <c r="C455" s="131" t="s">
        <v>65</v>
      </c>
      <c r="D455" s="130"/>
      <c r="E455" s="132" t="s">
        <v>66</v>
      </c>
      <c r="F455" s="22" t="e">
        <f>F456+F481+F530+F539+F570+#REF!+F576</f>
        <v>#REF!</v>
      </c>
      <c r="G455" s="147">
        <f>G456+G468+G472</f>
        <v>101075.76899999999</v>
      </c>
      <c r="H455" s="147">
        <f>H456+H468+H472</f>
        <v>93544.2</v>
      </c>
      <c r="I455" s="147">
        <f>I456+I468+I472</f>
        <v>90550.399999999994</v>
      </c>
    </row>
    <row r="456" spans="1:11" x14ac:dyDescent="0.25">
      <c r="A456" s="49"/>
      <c r="B456" s="49"/>
      <c r="C456" s="49" t="s">
        <v>67</v>
      </c>
      <c r="D456" s="49"/>
      <c r="E456" s="50" t="s">
        <v>68</v>
      </c>
      <c r="F456" s="51" t="e">
        <f>F457+F465</f>
        <v>#REF!</v>
      </c>
      <c r="G456" s="51">
        <f>G457+G465</f>
        <v>97368.499999999985</v>
      </c>
      <c r="H456" s="51">
        <f>H457+H465</f>
        <v>92691.8</v>
      </c>
      <c r="I456" s="51">
        <f>I457+I465</f>
        <v>89771.5</v>
      </c>
    </row>
    <row r="457" spans="1:11" ht="39" x14ac:dyDescent="0.25">
      <c r="A457" s="52"/>
      <c r="B457" s="52"/>
      <c r="C457" s="52" t="s">
        <v>69</v>
      </c>
      <c r="D457" s="52"/>
      <c r="E457" s="53" t="s">
        <v>70</v>
      </c>
      <c r="F457" s="25" t="e">
        <f>F458+F463+F586+F460+F613</f>
        <v>#REF!</v>
      </c>
      <c r="G457" s="25">
        <f>G458+G460+G463</f>
        <v>96200.799999999988</v>
      </c>
      <c r="H457" s="25">
        <f t="shared" ref="H457:I457" si="116">H458+H460+H463</f>
        <v>91478.8</v>
      </c>
      <c r="I457" s="25">
        <f t="shared" si="116"/>
        <v>88510</v>
      </c>
    </row>
    <row r="458" spans="1:11" ht="26.25" x14ac:dyDescent="0.25">
      <c r="A458" s="111"/>
      <c r="B458" s="111"/>
      <c r="C458" s="11" t="s">
        <v>71</v>
      </c>
      <c r="D458" s="20"/>
      <c r="E458" s="5" t="s">
        <v>72</v>
      </c>
      <c r="F458" s="22" t="e">
        <f>#REF!</f>
        <v>#REF!</v>
      </c>
      <c r="G458" s="22">
        <f>29730.8-825.9</f>
        <v>28904.899999999998</v>
      </c>
      <c r="H458" s="22">
        <f>30880.8-1522.3</f>
        <v>29358.5</v>
      </c>
      <c r="I458" s="22">
        <f>32305.7-2571.4</f>
        <v>29734.3</v>
      </c>
    </row>
    <row r="459" spans="1:11" ht="26.25" x14ac:dyDescent="0.25">
      <c r="A459" s="111"/>
      <c r="B459" s="111"/>
      <c r="C459" s="11"/>
      <c r="D459" s="1" t="s">
        <v>658</v>
      </c>
      <c r="E459" s="2" t="s">
        <v>659</v>
      </c>
      <c r="F459" s="22"/>
      <c r="G459" s="22">
        <f>29730.8-825.9</f>
        <v>28904.899999999998</v>
      </c>
      <c r="H459" s="22">
        <f>30880.8-1522.3</f>
        <v>29358.5</v>
      </c>
      <c r="I459" s="22">
        <f>32305.7-2571.4</f>
        <v>29734.3</v>
      </c>
      <c r="K459" s="60"/>
    </row>
    <row r="460" spans="1:11" ht="39" x14ac:dyDescent="0.25">
      <c r="A460" s="111"/>
      <c r="B460" s="111"/>
      <c r="C460" s="11" t="s">
        <v>73</v>
      </c>
      <c r="D460" s="11"/>
      <c r="E460" s="5" t="s">
        <v>74</v>
      </c>
      <c r="F460" s="22" t="e">
        <f>SUM(#REF!+#REF!)</f>
        <v>#REF!</v>
      </c>
      <c r="G460" s="22">
        <f>G461+G462</f>
        <v>66238.7</v>
      </c>
      <c r="H460" s="22">
        <f>H461+H462</f>
        <v>61020.800000000003</v>
      </c>
      <c r="I460" s="22">
        <f>I461+I462</f>
        <v>57632.200000000004</v>
      </c>
      <c r="K460" s="60"/>
    </row>
    <row r="461" spans="1:11" x14ac:dyDescent="0.25">
      <c r="A461" s="111"/>
      <c r="B461" s="111"/>
      <c r="C461" s="11"/>
      <c r="D461" s="1" t="s">
        <v>564</v>
      </c>
      <c r="E461" s="2" t="s">
        <v>565</v>
      </c>
      <c r="F461" s="22"/>
      <c r="G461" s="22">
        <v>22.9</v>
      </c>
      <c r="H461" s="22">
        <v>22.9</v>
      </c>
      <c r="I461" s="22">
        <v>22.9</v>
      </c>
    </row>
    <row r="462" spans="1:11" ht="26.25" x14ac:dyDescent="0.25">
      <c r="A462" s="111"/>
      <c r="B462" s="111"/>
      <c r="C462" s="11"/>
      <c r="D462" s="1" t="s">
        <v>658</v>
      </c>
      <c r="E462" s="2" t="s">
        <v>659</v>
      </c>
      <c r="F462" s="22"/>
      <c r="G462" s="22">
        <f>66225.3-9.5</f>
        <v>66215.8</v>
      </c>
      <c r="H462" s="22">
        <f>61006.8-8.9</f>
        <v>60997.9</v>
      </c>
      <c r="I462" s="22">
        <f>57618-8.7</f>
        <v>57609.3</v>
      </c>
    </row>
    <row r="463" spans="1:11" ht="26.25" x14ac:dyDescent="0.25">
      <c r="A463" s="111"/>
      <c r="B463" s="111"/>
      <c r="C463" s="11" t="s">
        <v>77</v>
      </c>
      <c r="D463" s="11"/>
      <c r="E463" s="5" t="s">
        <v>78</v>
      </c>
      <c r="F463" s="22" t="e">
        <f>#REF!</f>
        <v>#REF!</v>
      </c>
      <c r="G463" s="22">
        <v>1057.2</v>
      </c>
      <c r="H463" s="22">
        <v>1099.5</v>
      </c>
      <c r="I463" s="22">
        <v>1143.5</v>
      </c>
    </row>
    <row r="464" spans="1:11" ht="26.25" x14ac:dyDescent="0.25">
      <c r="A464" s="111"/>
      <c r="B464" s="111"/>
      <c r="C464" s="11"/>
      <c r="D464" s="1" t="s">
        <v>658</v>
      </c>
      <c r="E464" s="2" t="s">
        <v>659</v>
      </c>
      <c r="F464" s="22"/>
      <c r="G464" s="22">
        <v>1057.2</v>
      </c>
      <c r="H464" s="22">
        <v>1099.5</v>
      </c>
      <c r="I464" s="22">
        <v>1143.5</v>
      </c>
    </row>
    <row r="465" spans="1:18" ht="39" x14ac:dyDescent="0.25">
      <c r="A465" s="52"/>
      <c r="B465" s="52"/>
      <c r="C465" s="52" t="s">
        <v>81</v>
      </c>
      <c r="D465" s="52"/>
      <c r="E465" s="53" t="s">
        <v>82</v>
      </c>
      <c r="F465" s="25" t="e">
        <f t="shared" ref="F465:I465" si="117">F466</f>
        <v>#REF!</v>
      </c>
      <c r="G465" s="25">
        <f t="shared" si="117"/>
        <v>1167.7</v>
      </c>
      <c r="H465" s="25">
        <f t="shared" si="117"/>
        <v>1213</v>
      </c>
      <c r="I465" s="25">
        <f t="shared" si="117"/>
        <v>1261.5</v>
      </c>
    </row>
    <row r="466" spans="1:18" x14ac:dyDescent="0.25">
      <c r="A466" s="111"/>
      <c r="B466" s="111"/>
      <c r="C466" s="11" t="s">
        <v>83</v>
      </c>
      <c r="D466" s="11"/>
      <c r="E466" s="14" t="s">
        <v>84</v>
      </c>
      <c r="F466" s="22" t="e">
        <f>#REF!</f>
        <v>#REF!</v>
      </c>
      <c r="G466" s="22">
        <f>G467</f>
        <v>1167.7</v>
      </c>
      <c r="H466" s="22">
        <f>H467</f>
        <v>1213</v>
      </c>
      <c r="I466" s="22">
        <f>I467</f>
        <v>1261.5</v>
      </c>
    </row>
    <row r="467" spans="1:18" ht="26.25" x14ac:dyDescent="0.25">
      <c r="A467" s="111"/>
      <c r="B467" s="111"/>
      <c r="C467" s="11"/>
      <c r="D467" s="1" t="s">
        <v>658</v>
      </c>
      <c r="E467" s="2" t="s">
        <v>659</v>
      </c>
      <c r="F467" s="22"/>
      <c r="G467" s="22">
        <v>1167.7</v>
      </c>
      <c r="H467" s="22">
        <v>1213</v>
      </c>
      <c r="I467" s="22">
        <v>1261.5</v>
      </c>
    </row>
    <row r="468" spans="1:18" x14ac:dyDescent="0.25">
      <c r="A468" s="49"/>
      <c r="B468" s="49"/>
      <c r="C468" s="49" t="s">
        <v>149</v>
      </c>
      <c r="D468" s="49"/>
      <c r="E468" s="50" t="s">
        <v>150</v>
      </c>
      <c r="F468" s="51" t="e">
        <f>F478+F483</f>
        <v>#REF!</v>
      </c>
      <c r="G468" s="51">
        <f>G469</f>
        <v>999.4</v>
      </c>
      <c r="H468" s="51">
        <f t="shared" ref="H468:I468" si="118">H469</f>
        <v>852.4</v>
      </c>
      <c r="I468" s="51">
        <f t="shared" si="118"/>
        <v>778.9</v>
      </c>
    </row>
    <row r="469" spans="1:18" ht="26.25" x14ac:dyDescent="0.25">
      <c r="A469" s="52"/>
      <c r="B469" s="52"/>
      <c r="C469" s="52" t="s">
        <v>157</v>
      </c>
      <c r="D469" s="52"/>
      <c r="E469" s="53" t="s">
        <v>158</v>
      </c>
      <c r="F469" s="25" t="e">
        <f>F470+F478+F481</f>
        <v>#REF!</v>
      </c>
      <c r="G469" s="25">
        <f>G470</f>
        <v>999.4</v>
      </c>
      <c r="H469" s="25">
        <f t="shared" ref="H469:I469" si="119">H470</f>
        <v>852.4</v>
      </c>
      <c r="I469" s="25">
        <f t="shared" si="119"/>
        <v>778.9</v>
      </c>
    </row>
    <row r="470" spans="1:18" ht="26.25" x14ac:dyDescent="0.25">
      <c r="A470" s="11"/>
      <c r="B470" s="11"/>
      <c r="C470" s="11" t="s">
        <v>159</v>
      </c>
      <c r="D470" s="11"/>
      <c r="E470" s="5" t="s">
        <v>160</v>
      </c>
      <c r="F470" s="22" t="e">
        <f>#REF!</f>
        <v>#REF!</v>
      </c>
      <c r="G470" s="22">
        <f>G471</f>
        <v>999.4</v>
      </c>
      <c r="H470" s="22">
        <f t="shared" ref="H470:I470" si="120">H471</f>
        <v>852.4</v>
      </c>
      <c r="I470" s="22">
        <f t="shared" si="120"/>
        <v>778.9</v>
      </c>
    </row>
    <row r="471" spans="1:18" ht="26.25" x14ac:dyDescent="0.25">
      <c r="A471" s="11"/>
      <c r="B471" s="11"/>
      <c r="C471" s="11"/>
      <c r="D471" s="6" t="s">
        <v>658</v>
      </c>
      <c r="E471" s="7" t="s">
        <v>659</v>
      </c>
      <c r="F471" s="22"/>
      <c r="G471" s="22">
        <v>999.4</v>
      </c>
      <c r="H471" s="22">
        <v>852.4</v>
      </c>
      <c r="I471" s="22">
        <v>778.9</v>
      </c>
    </row>
    <row r="472" spans="1:18" ht="26.25" x14ac:dyDescent="0.25">
      <c r="A472" s="49"/>
      <c r="B472" s="49"/>
      <c r="C472" s="49" t="s">
        <v>165</v>
      </c>
      <c r="D472" s="49"/>
      <c r="E472" s="50" t="s">
        <v>166</v>
      </c>
      <c r="F472" s="51" t="e">
        <f>F473</f>
        <v>#REF!</v>
      </c>
      <c r="G472" s="447">
        <f>G473</f>
        <v>2707.8690000000001</v>
      </c>
      <c r="H472" s="51">
        <f t="shared" ref="H472:I473" si="121">H473</f>
        <v>0</v>
      </c>
      <c r="I472" s="51">
        <f t="shared" si="121"/>
        <v>0</v>
      </c>
      <c r="Q472" s="40">
        <v>7925</v>
      </c>
      <c r="R472" s="40">
        <v>22528.5</v>
      </c>
    </row>
    <row r="473" spans="1:18" ht="39" x14ac:dyDescent="0.25">
      <c r="A473" s="56"/>
      <c r="B473" s="56"/>
      <c r="C473" s="56" t="s">
        <v>167</v>
      </c>
      <c r="D473" s="56"/>
      <c r="E473" s="53" t="s">
        <v>168</v>
      </c>
      <c r="F473" s="25" t="e">
        <f>F474+#REF!+#REF!+#REF!+#REF!+#REF!+F478</f>
        <v>#REF!</v>
      </c>
      <c r="G473" s="442">
        <f>G474</f>
        <v>2707.8690000000001</v>
      </c>
      <c r="H473" s="25">
        <f t="shared" si="121"/>
        <v>0</v>
      </c>
      <c r="I473" s="25">
        <f t="shared" si="121"/>
        <v>0</v>
      </c>
    </row>
    <row r="474" spans="1:18" ht="26.25" x14ac:dyDescent="0.25">
      <c r="A474" s="111"/>
      <c r="B474" s="111"/>
      <c r="C474" s="11" t="s">
        <v>169</v>
      </c>
      <c r="D474" s="11"/>
      <c r="E474" s="5" t="s">
        <v>170</v>
      </c>
      <c r="F474" s="22" t="e">
        <f>#REF!</f>
        <v>#REF!</v>
      </c>
      <c r="G474" s="439">
        <f>G476+G477</f>
        <v>2707.8690000000001</v>
      </c>
      <c r="H474" s="22">
        <v>0</v>
      </c>
      <c r="I474" s="22">
        <v>0</v>
      </c>
      <c r="Q474" s="40">
        <v>53523.9</v>
      </c>
      <c r="R474" s="40">
        <v>20454.3</v>
      </c>
    </row>
    <row r="475" spans="1:18" ht="26.25" x14ac:dyDescent="0.25">
      <c r="A475" s="111"/>
      <c r="B475" s="111"/>
      <c r="C475" s="11"/>
      <c r="D475" s="1" t="s">
        <v>658</v>
      </c>
      <c r="E475" s="2" t="s">
        <v>659</v>
      </c>
      <c r="F475" s="22"/>
      <c r="G475" s="439">
        <f>G476+G477</f>
        <v>2707.8690000000001</v>
      </c>
      <c r="H475" s="22">
        <v>0</v>
      </c>
      <c r="I475" s="22">
        <v>0</v>
      </c>
      <c r="O475" s="67">
        <f>SUM(O463:O474)</f>
        <v>0</v>
      </c>
      <c r="P475" s="67">
        <v>30180.400000000001</v>
      </c>
      <c r="Q475" s="67">
        <f>SUM(Q472:Q474)</f>
        <v>61448.9</v>
      </c>
      <c r="R475" s="67">
        <f>SUM(R472:R474)</f>
        <v>42982.8</v>
      </c>
    </row>
    <row r="476" spans="1:18" x14ac:dyDescent="0.25">
      <c r="A476" s="111"/>
      <c r="B476" s="111"/>
      <c r="C476" s="11"/>
      <c r="D476" s="11"/>
      <c r="E476" s="5" t="s">
        <v>171</v>
      </c>
      <c r="F476" s="22">
        <v>0</v>
      </c>
      <c r="G476" s="439">
        <v>2030.902</v>
      </c>
      <c r="H476" s="22">
        <v>0</v>
      </c>
      <c r="I476" s="22">
        <v>0</v>
      </c>
      <c r="O476" s="68">
        <f>O475*8/100</f>
        <v>0</v>
      </c>
      <c r="P476" s="68">
        <f>P475*8/100</f>
        <v>2414.4320000000002</v>
      </c>
      <c r="Q476" s="40">
        <f>Q475*8/100</f>
        <v>4915.9120000000003</v>
      </c>
      <c r="R476" s="40">
        <f>R475*8/100</f>
        <v>3438.6240000000003</v>
      </c>
    </row>
    <row r="477" spans="1:18" x14ac:dyDescent="0.25">
      <c r="A477" s="111"/>
      <c r="B477" s="111"/>
      <c r="C477" s="11"/>
      <c r="D477" s="11"/>
      <c r="E477" s="5" t="s">
        <v>172</v>
      </c>
      <c r="F477" s="22">
        <v>0</v>
      </c>
      <c r="G477" s="439">
        <v>676.96699999999998</v>
      </c>
      <c r="H477" s="22">
        <v>0</v>
      </c>
      <c r="I477" s="22">
        <v>0</v>
      </c>
      <c r="K477" s="63">
        <f>G483+H483+I483</f>
        <v>100476.59999999999</v>
      </c>
      <c r="O477" s="471">
        <f>O476+P476</f>
        <v>2414.4320000000002</v>
      </c>
      <c r="P477" s="471"/>
      <c r="Q477" s="471">
        <f>Q476+R476</f>
        <v>8354.5360000000001</v>
      </c>
      <c r="R477" s="471"/>
    </row>
    <row r="478" spans="1:18" x14ac:dyDescent="0.25">
      <c r="A478" s="110"/>
      <c r="B478" s="27" t="s">
        <v>720</v>
      </c>
      <c r="C478" s="116"/>
      <c r="D478" s="115"/>
      <c r="E478" s="117" t="s">
        <v>721</v>
      </c>
      <c r="F478" s="22"/>
      <c r="G478" s="45">
        <f>G479</f>
        <v>248072.84100000004</v>
      </c>
      <c r="H478" s="45">
        <f t="shared" ref="H478:I479" si="122">H479</f>
        <v>250781.40000000002</v>
      </c>
      <c r="I478" s="45">
        <f t="shared" si="122"/>
        <v>248344.80000000005</v>
      </c>
    </row>
    <row r="479" spans="1:18" ht="25.5" x14ac:dyDescent="0.25">
      <c r="A479" s="110"/>
      <c r="B479" s="27"/>
      <c r="C479" s="116" t="s">
        <v>6</v>
      </c>
      <c r="D479" s="115"/>
      <c r="E479" s="122" t="s">
        <v>7</v>
      </c>
      <c r="F479" s="22"/>
      <c r="G479" s="45">
        <f>G480+G519</f>
        <v>248072.84100000004</v>
      </c>
      <c r="H479" s="45">
        <f t="shared" si="122"/>
        <v>250781.40000000002</v>
      </c>
      <c r="I479" s="45">
        <f t="shared" si="122"/>
        <v>248344.80000000005</v>
      </c>
    </row>
    <row r="480" spans="1:18" ht="25.5" x14ac:dyDescent="0.25">
      <c r="A480" s="129"/>
      <c r="B480" s="130"/>
      <c r="C480" s="131" t="s">
        <v>65</v>
      </c>
      <c r="D480" s="130"/>
      <c r="E480" s="132" t="s">
        <v>66</v>
      </c>
      <c r="F480" s="22" t="e">
        <f>F757+F590+F542+F601+#REF!+F576+F688</f>
        <v>#REF!</v>
      </c>
      <c r="G480" s="147">
        <f>G481+G504+G508</f>
        <v>247472.85000000003</v>
      </c>
      <c r="H480" s="147">
        <f>H481+H504+H508</f>
        <v>250781.40000000002</v>
      </c>
      <c r="I480" s="147">
        <f>I481+I504+I508</f>
        <v>248344.80000000005</v>
      </c>
    </row>
    <row r="481" spans="1:9" x14ac:dyDescent="0.25">
      <c r="A481" s="49"/>
      <c r="B481" s="49"/>
      <c r="C481" s="49" t="s">
        <v>85</v>
      </c>
      <c r="D481" s="49"/>
      <c r="E481" s="50" t="s">
        <v>86</v>
      </c>
      <c r="F481" s="51" t="e">
        <f>F482+F491+F386</f>
        <v>#REF!</v>
      </c>
      <c r="G481" s="51">
        <f>G482+G491</f>
        <v>240417.40000000002</v>
      </c>
      <c r="H481" s="51">
        <f t="shared" ref="H481:I481" si="123">H482+H491</f>
        <v>240301.60000000003</v>
      </c>
      <c r="I481" s="51">
        <f t="shared" si="123"/>
        <v>234800.30000000005</v>
      </c>
    </row>
    <row r="482" spans="1:9" ht="39" x14ac:dyDescent="0.25">
      <c r="A482" s="52"/>
      <c r="B482" s="52"/>
      <c r="C482" s="52" t="s">
        <v>87</v>
      </c>
      <c r="D482" s="52"/>
      <c r="E482" s="53" t="s">
        <v>88</v>
      </c>
      <c r="F482" s="25" t="e">
        <f t="shared" ref="F482:I482" si="124">F483+F485+F487</f>
        <v>#REF!</v>
      </c>
      <c r="G482" s="25">
        <f t="shared" si="124"/>
        <v>206037.90000000002</v>
      </c>
      <c r="H482" s="25">
        <f t="shared" si="124"/>
        <v>207179.60000000003</v>
      </c>
      <c r="I482" s="25">
        <f t="shared" si="124"/>
        <v>203819.10000000003</v>
      </c>
    </row>
    <row r="483" spans="1:9" ht="26.25" x14ac:dyDescent="0.25">
      <c r="A483" s="111"/>
      <c r="B483" s="111"/>
      <c r="C483" s="11" t="s">
        <v>89</v>
      </c>
      <c r="D483" s="20"/>
      <c r="E483" s="5" t="s">
        <v>90</v>
      </c>
      <c r="F483" s="22" t="e">
        <f>#REF!</f>
        <v>#REF!</v>
      </c>
      <c r="G483" s="22">
        <f>33832.3-745.6</f>
        <v>33086.700000000004</v>
      </c>
      <c r="H483" s="22">
        <f>34916.1-1321.9</f>
        <v>33594.199999999997</v>
      </c>
      <c r="I483" s="22">
        <f>36046.7-2251</f>
        <v>33795.699999999997</v>
      </c>
    </row>
    <row r="484" spans="1:9" ht="26.25" x14ac:dyDescent="0.25">
      <c r="A484" s="111"/>
      <c r="B484" s="111"/>
      <c r="C484" s="11"/>
      <c r="D484" s="1" t="s">
        <v>658</v>
      </c>
      <c r="E484" s="2" t="s">
        <v>659</v>
      </c>
      <c r="F484" s="22"/>
      <c r="G484" s="22">
        <v>33086.700000000004</v>
      </c>
      <c r="H484" s="22">
        <v>33594.199999999997</v>
      </c>
      <c r="I484" s="22">
        <v>33795.699999999997</v>
      </c>
    </row>
    <row r="485" spans="1:9" ht="51.75" x14ac:dyDescent="0.25">
      <c r="A485" s="111"/>
      <c r="B485" s="111"/>
      <c r="C485" s="11" t="s">
        <v>91</v>
      </c>
      <c r="D485" s="11"/>
      <c r="E485" s="5" t="s">
        <v>92</v>
      </c>
      <c r="F485" s="22" t="e">
        <f>#REF!</f>
        <v>#REF!</v>
      </c>
      <c r="G485" s="22">
        <f>G486</f>
        <v>167462</v>
      </c>
      <c r="H485" s="22">
        <f>H486</f>
        <v>168096.2</v>
      </c>
      <c r="I485" s="22">
        <f>I486</f>
        <v>164534.20000000001</v>
      </c>
    </row>
    <row r="486" spans="1:9" ht="26.25" x14ac:dyDescent="0.25">
      <c r="A486" s="111"/>
      <c r="B486" s="111"/>
      <c r="C486" s="11"/>
      <c r="D486" s="1" t="s">
        <v>658</v>
      </c>
      <c r="E486" s="2" t="s">
        <v>659</v>
      </c>
      <c r="F486" s="22"/>
      <c r="G486" s="22">
        <f>167503.7-41.7</f>
        <v>167462</v>
      </c>
      <c r="H486" s="22">
        <f>168138.5-42.3</f>
        <v>168096.2</v>
      </c>
      <c r="I486" s="22">
        <f>164576.7-42.5</f>
        <v>164534.20000000001</v>
      </c>
    </row>
    <row r="487" spans="1:9" ht="72.75" customHeight="1" x14ac:dyDescent="0.25">
      <c r="A487" s="111"/>
      <c r="B487" s="111"/>
      <c r="C487" s="11" t="s">
        <v>93</v>
      </c>
      <c r="D487" s="11"/>
      <c r="E487" s="5" t="s">
        <v>94</v>
      </c>
      <c r="F487" s="57" t="e">
        <f>#REF!</f>
        <v>#REF!</v>
      </c>
      <c r="G487" s="57">
        <f>G489+G490</f>
        <v>5489.2</v>
      </c>
      <c r="H487" s="57">
        <f t="shared" ref="H487:I487" si="125">H489+H490</f>
        <v>5489.2</v>
      </c>
      <c r="I487" s="57">
        <f t="shared" si="125"/>
        <v>5489.2</v>
      </c>
    </row>
    <row r="488" spans="1:9" ht="26.25" x14ac:dyDescent="0.25">
      <c r="A488" s="111"/>
      <c r="B488" s="111"/>
      <c r="C488" s="11"/>
      <c r="D488" s="1" t="s">
        <v>658</v>
      </c>
      <c r="E488" s="2" t="s">
        <v>659</v>
      </c>
      <c r="F488" s="57"/>
      <c r="G488" s="57">
        <v>5489.2</v>
      </c>
      <c r="H488" s="57">
        <v>5489.2</v>
      </c>
      <c r="I488" s="57">
        <v>5489.2</v>
      </c>
    </row>
    <row r="489" spans="1:9" x14ac:dyDescent="0.25">
      <c r="A489" s="111"/>
      <c r="B489" s="111"/>
      <c r="C489" s="11"/>
      <c r="D489" s="11"/>
      <c r="E489" s="5" t="s">
        <v>95</v>
      </c>
      <c r="F489" s="22">
        <v>4100.2</v>
      </c>
      <c r="G489" s="22">
        <v>5077.5</v>
      </c>
      <c r="H489" s="22">
        <v>5077.5</v>
      </c>
      <c r="I489" s="22">
        <v>5077.5</v>
      </c>
    </row>
    <row r="490" spans="1:9" x14ac:dyDescent="0.25">
      <c r="A490" s="111"/>
      <c r="B490" s="111"/>
      <c r="C490" s="11"/>
      <c r="D490" s="11"/>
      <c r="E490" s="5" t="s">
        <v>96</v>
      </c>
      <c r="F490" s="22">
        <v>332.4</v>
      </c>
      <c r="G490" s="22">
        <v>411.7</v>
      </c>
      <c r="H490" s="22">
        <v>411.7</v>
      </c>
      <c r="I490" s="22">
        <v>411.7</v>
      </c>
    </row>
    <row r="491" spans="1:9" ht="39" x14ac:dyDescent="0.25">
      <c r="A491" s="52"/>
      <c r="B491" s="52"/>
      <c r="C491" s="52" t="s">
        <v>97</v>
      </c>
      <c r="D491" s="52"/>
      <c r="E491" s="53" t="s">
        <v>98</v>
      </c>
      <c r="F491" s="25" t="e">
        <f>F492+F594+F494+F496+F498+F500+F590+F592+F502</f>
        <v>#REF!</v>
      </c>
      <c r="G491" s="25">
        <f>G492+G494+G496+G498+G500+G502</f>
        <v>34379.5</v>
      </c>
      <c r="H491" s="25">
        <f t="shared" ref="H491:I491" si="126">H492+H494+H496+H498+H500+H502</f>
        <v>33122</v>
      </c>
      <c r="I491" s="25">
        <f t="shared" si="126"/>
        <v>30981.200000000004</v>
      </c>
    </row>
    <row r="492" spans="1:9" ht="26.25" x14ac:dyDescent="0.25">
      <c r="A492" s="111"/>
      <c r="B492" s="111"/>
      <c r="C492" s="11" t="s">
        <v>99</v>
      </c>
      <c r="D492" s="11"/>
      <c r="E492" s="5" t="s">
        <v>100</v>
      </c>
      <c r="F492" s="22" t="e">
        <f>#REF!</f>
        <v>#REF!</v>
      </c>
      <c r="G492" s="22">
        <f>G493</f>
        <v>6117.2000000000007</v>
      </c>
      <c r="H492" s="22">
        <f t="shared" ref="H492:I492" si="127">H493</f>
        <v>6361.9</v>
      </c>
      <c r="I492" s="22">
        <f t="shared" si="127"/>
        <v>6616.4000000000005</v>
      </c>
    </row>
    <row r="493" spans="1:9" ht="26.25" x14ac:dyDescent="0.25">
      <c r="A493" s="111"/>
      <c r="B493" s="111"/>
      <c r="C493" s="11"/>
      <c r="D493" s="1" t="s">
        <v>658</v>
      </c>
      <c r="E493" s="2" t="s">
        <v>659</v>
      </c>
      <c r="F493" s="22"/>
      <c r="G493" s="22">
        <f>7186.8-130.2-834.9-104.5</f>
        <v>6117.2000000000007</v>
      </c>
      <c r="H493" s="22">
        <f>7474.2-135.4-868.3-108.6</f>
        <v>6361.9</v>
      </c>
      <c r="I493" s="22">
        <f>7773.2-140.9-903-112.9</f>
        <v>6616.4000000000005</v>
      </c>
    </row>
    <row r="494" spans="1:9" ht="39" x14ac:dyDescent="0.25">
      <c r="A494" s="111"/>
      <c r="B494" s="111"/>
      <c r="C494" s="11" t="s">
        <v>102</v>
      </c>
      <c r="D494" s="11"/>
      <c r="E494" s="5" t="s">
        <v>103</v>
      </c>
      <c r="F494" s="22" t="e">
        <f>#REF!</f>
        <v>#REF!</v>
      </c>
      <c r="G494" s="22">
        <v>225.6</v>
      </c>
      <c r="H494" s="22">
        <v>234.7</v>
      </c>
      <c r="I494" s="22">
        <v>244.1</v>
      </c>
    </row>
    <row r="495" spans="1:9" ht="26.25" x14ac:dyDescent="0.25">
      <c r="A495" s="111"/>
      <c r="B495" s="111"/>
      <c r="C495" s="11"/>
      <c r="D495" s="1" t="s">
        <v>658</v>
      </c>
      <c r="E495" s="2" t="s">
        <v>659</v>
      </c>
      <c r="F495" s="22"/>
      <c r="G495" s="22">
        <v>225.6</v>
      </c>
      <c r="H495" s="22">
        <v>234.7</v>
      </c>
      <c r="I495" s="22">
        <v>244.1</v>
      </c>
    </row>
    <row r="496" spans="1:9" ht="26.25" x14ac:dyDescent="0.25">
      <c r="A496" s="111"/>
      <c r="B496" s="111"/>
      <c r="C496" s="11" t="s">
        <v>104</v>
      </c>
      <c r="D496" s="11"/>
      <c r="E496" s="5" t="s">
        <v>105</v>
      </c>
      <c r="F496" s="22" t="e">
        <f>#REF!</f>
        <v>#REF!</v>
      </c>
      <c r="G496" s="22">
        <v>250.8</v>
      </c>
      <c r="H496" s="22">
        <v>260.8</v>
      </c>
      <c r="I496" s="22">
        <v>271.2</v>
      </c>
    </row>
    <row r="497" spans="1:18" ht="26.25" x14ac:dyDescent="0.25">
      <c r="A497" s="111"/>
      <c r="B497" s="111"/>
      <c r="C497" s="11"/>
      <c r="D497" s="1" t="s">
        <v>658</v>
      </c>
      <c r="E497" s="2" t="s">
        <v>659</v>
      </c>
      <c r="F497" s="22"/>
      <c r="G497" s="22">
        <v>250.8</v>
      </c>
      <c r="H497" s="22">
        <v>260.8</v>
      </c>
      <c r="I497" s="22">
        <v>271.2</v>
      </c>
    </row>
    <row r="498" spans="1:18" ht="39" x14ac:dyDescent="0.25">
      <c r="A498" s="111"/>
      <c r="B498" s="111"/>
      <c r="C498" s="11" t="s">
        <v>110</v>
      </c>
      <c r="D498" s="11"/>
      <c r="E498" s="5" t="s">
        <v>111</v>
      </c>
      <c r="F498" s="22" t="e">
        <f>#REF!</f>
        <v>#REF!</v>
      </c>
      <c r="G498" s="22">
        <v>12128.1</v>
      </c>
      <c r="H498" s="22">
        <v>12128.1</v>
      </c>
      <c r="I498" s="22">
        <v>12128.1</v>
      </c>
    </row>
    <row r="499" spans="1:18" ht="26.25" x14ac:dyDescent="0.25">
      <c r="A499" s="111"/>
      <c r="B499" s="111"/>
      <c r="C499" s="11"/>
      <c r="D499" s="1" t="s">
        <v>658</v>
      </c>
      <c r="E499" s="2" t="s">
        <v>659</v>
      </c>
      <c r="F499" s="22"/>
      <c r="G499" s="22">
        <v>12128.1</v>
      </c>
      <c r="H499" s="22">
        <v>12128.1</v>
      </c>
      <c r="I499" s="22">
        <v>12128.1</v>
      </c>
    </row>
    <row r="500" spans="1:18" ht="39" x14ac:dyDescent="0.25">
      <c r="A500" s="111"/>
      <c r="B500" s="111"/>
      <c r="C500" s="11" t="s">
        <v>112</v>
      </c>
      <c r="D500" s="11"/>
      <c r="E500" s="5" t="s">
        <v>591</v>
      </c>
      <c r="F500" s="22" t="e">
        <f>#REF!</f>
        <v>#REF!</v>
      </c>
      <c r="G500" s="22">
        <v>12157.8</v>
      </c>
      <c r="H500" s="22">
        <v>12003.5</v>
      </c>
      <c r="I500" s="22">
        <v>11721.4</v>
      </c>
    </row>
    <row r="501" spans="1:18" ht="26.25" x14ac:dyDescent="0.25">
      <c r="A501" s="111"/>
      <c r="B501" s="111"/>
      <c r="C501" s="11"/>
      <c r="D501" s="1" t="s">
        <v>658</v>
      </c>
      <c r="E501" s="2" t="s">
        <v>659</v>
      </c>
      <c r="F501" s="22"/>
      <c r="G501" s="22">
        <v>12157.8</v>
      </c>
      <c r="H501" s="22">
        <v>12003.5</v>
      </c>
      <c r="I501" s="22">
        <v>11721.4</v>
      </c>
    </row>
    <row r="502" spans="1:18" ht="26.25" x14ac:dyDescent="0.25">
      <c r="A502" s="111"/>
      <c r="B502" s="111"/>
      <c r="C502" s="11" t="s">
        <v>592</v>
      </c>
      <c r="D502" s="11"/>
      <c r="E502" s="5" t="s">
        <v>114</v>
      </c>
      <c r="F502" s="22" t="e">
        <f>#REF!</f>
        <v>#REF!</v>
      </c>
      <c r="G502" s="22">
        <v>3500</v>
      </c>
      <c r="H502" s="22">
        <v>2133</v>
      </c>
      <c r="I502" s="22">
        <v>0</v>
      </c>
    </row>
    <row r="503" spans="1:18" ht="26.25" x14ac:dyDescent="0.25">
      <c r="A503" s="111"/>
      <c r="B503" s="111"/>
      <c r="C503" s="11"/>
      <c r="D503" s="1" t="s">
        <v>658</v>
      </c>
      <c r="E503" s="2" t="s">
        <v>659</v>
      </c>
      <c r="F503" s="22"/>
      <c r="G503" s="22">
        <v>3500</v>
      </c>
      <c r="H503" s="22">
        <v>2133</v>
      </c>
      <c r="I503" s="22">
        <v>0</v>
      </c>
    </row>
    <row r="504" spans="1:18" x14ac:dyDescent="0.25">
      <c r="A504" s="49"/>
      <c r="B504" s="49"/>
      <c r="C504" s="49" t="s">
        <v>149</v>
      </c>
      <c r="D504" s="49"/>
      <c r="E504" s="50" t="s">
        <v>150</v>
      </c>
      <c r="F504" s="51" t="e">
        <f>F527+F532</f>
        <v>#REF!</v>
      </c>
      <c r="G504" s="51">
        <f>G505</f>
        <v>4923.5</v>
      </c>
      <c r="H504" s="51">
        <f t="shared" ref="H504:I506" si="128">H505</f>
        <v>5044.5</v>
      </c>
      <c r="I504" s="51">
        <f t="shared" si="128"/>
        <v>5190</v>
      </c>
    </row>
    <row r="505" spans="1:18" ht="26.25" x14ac:dyDescent="0.25">
      <c r="A505" s="52"/>
      <c r="B505" s="52"/>
      <c r="C505" s="52" t="s">
        <v>157</v>
      </c>
      <c r="D505" s="52"/>
      <c r="E505" s="53" t="s">
        <v>158</v>
      </c>
      <c r="F505" s="25" t="e">
        <f>F506+F527+F530</f>
        <v>#REF!</v>
      </c>
      <c r="G505" s="25">
        <f>G506</f>
        <v>4923.5</v>
      </c>
      <c r="H505" s="25">
        <f t="shared" si="128"/>
        <v>5044.5</v>
      </c>
      <c r="I505" s="25">
        <f t="shared" si="128"/>
        <v>5190</v>
      </c>
    </row>
    <row r="506" spans="1:18" ht="26.25" x14ac:dyDescent="0.25">
      <c r="A506" s="111"/>
      <c r="B506" s="111"/>
      <c r="C506" s="11" t="s">
        <v>159</v>
      </c>
      <c r="D506" s="11"/>
      <c r="E506" s="5" t="s">
        <v>160</v>
      </c>
      <c r="F506" s="22" t="e">
        <f>#REF!</f>
        <v>#REF!</v>
      </c>
      <c r="G506" s="22">
        <f>G507</f>
        <v>4923.5</v>
      </c>
      <c r="H506" s="22">
        <f t="shared" si="128"/>
        <v>5044.5</v>
      </c>
      <c r="I506" s="22">
        <f t="shared" si="128"/>
        <v>5190</v>
      </c>
    </row>
    <row r="507" spans="1:18" ht="26.25" x14ac:dyDescent="0.25">
      <c r="A507" s="111"/>
      <c r="B507" s="111"/>
      <c r="C507" s="11"/>
      <c r="D507" s="6" t="s">
        <v>658</v>
      </c>
      <c r="E507" s="7" t="s">
        <v>659</v>
      </c>
      <c r="F507" s="22"/>
      <c r="G507" s="22">
        <v>4923.5</v>
      </c>
      <c r="H507" s="22">
        <v>5044.5</v>
      </c>
      <c r="I507" s="22">
        <v>5190</v>
      </c>
    </row>
    <row r="508" spans="1:18" ht="26.25" x14ac:dyDescent="0.25">
      <c r="A508" s="49"/>
      <c r="B508" s="49"/>
      <c r="C508" s="49" t="s">
        <v>165</v>
      </c>
      <c r="D508" s="49"/>
      <c r="E508" s="50" t="s">
        <v>166</v>
      </c>
      <c r="F508" s="51" t="e">
        <f>F509</f>
        <v>#REF!</v>
      </c>
      <c r="G508" s="447">
        <f>G509</f>
        <v>2131.9499999999998</v>
      </c>
      <c r="H508" s="51">
        <f t="shared" ref="H508:I508" si="129">H509</f>
        <v>5435.3</v>
      </c>
      <c r="I508" s="51">
        <f t="shared" si="129"/>
        <v>8354.5</v>
      </c>
      <c r="Q508" s="40">
        <v>7925</v>
      </c>
      <c r="R508" s="40">
        <v>22528.5</v>
      </c>
    </row>
    <row r="509" spans="1:18" ht="39" x14ac:dyDescent="0.25">
      <c r="A509" s="56"/>
      <c r="B509" s="56"/>
      <c r="C509" s="56" t="s">
        <v>167</v>
      </c>
      <c r="D509" s="56"/>
      <c r="E509" s="53" t="s">
        <v>168</v>
      </c>
      <c r="F509" s="25" t="e">
        <f>F510+#REF!+#REF!+#REF!+#REF!+#REF!+F514</f>
        <v>#REF!</v>
      </c>
      <c r="G509" s="442">
        <f>G510</f>
        <v>2131.9499999999998</v>
      </c>
      <c r="H509" s="25">
        <f>H510+H514</f>
        <v>5435.3</v>
      </c>
      <c r="I509" s="25">
        <f>I510+I514</f>
        <v>8354.5</v>
      </c>
    </row>
    <row r="510" spans="1:18" ht="26.25" x14ac:dyDescent="0.25">
      <c r="A510" s="111"/>
      <c r="B510" s="111"/>
      <c r="C510" s="11" t="s">
        <v>169</v>
      </c>
      <c r="D510" s="11"/>
      <c r="E510" s="5" t="s">
        <v>170</v>
      </c>
      <c r="F510" s="22" t="e">
        <f>#REF!</f>
        <v>#REF!</v>
      </c>
      <c r="G510" s="439">
        <f>G512+G513</f>
        <v>2131.9499999999998</v>
      </c>
      <c r="H510" s="22">
        <v>0</v>
      </c>
      <c r="I510" s="22">
        <v>0</v>
      </c>
      <c r="Q510" s="40">
        <v>53523.9</v>
      </c>
      <c r="R510" s="40">
        <v>20454.3</v>
      </c>
    </row>
    <row r="511" spans="1:18" ht="26.25" x14ac:dyDescent="0.25">
      <c r="A511" s="111"/>
      <c r="B511" s="111"/>
      <c r="C511" s="11"/>
      <c r="D511" s="1" t="s">
        <v>658</v>
      </c>
      <c r="E511" s="2" t="s">
        <v>659</v>
      </c>
      <c r="F511" s="22"/>
      <c r="G511" s="439">
        <f>G512+G513</f>
        <v>2131.9499999999998</v>
      </c>
      <c r="H511" s="22">
        <v>0</v>
      </c>
      <c r="I511" s="22">
        <v>0</v>
      </c>
      <c r="O511" s="67">
        <f>SUM(O498:O510)</f>
        <v>0</v>
      </c>
      <c r="P511" s="67">
        <v>30180.400000000001</v>
      </c>
      <c r="Q511" s="67">
        <f>SUM(Q508:Q510)</f>
        <v>61448.9</v>
      </c>
      <c r="R511" s="67">
        <f>SUM(R508:R510)</f>
        <v>42982.8</v>
      </c>
    </row>
    <row r="512" spans="1:18" x14ac:dyDescent="0.25">
      <c r="A512" s="111"/>
      <c r="B512" s="111"/>
      <c r="C512" s="11"/>
      <c r="D512" s="11"/>
      <c r="E512" s="5" t="s">
        <v>171</v>
      </c>
      <c r="F512" s="22">
        <v>0</v>
      </c>
      <c r="G512" s="439">
        <v>1598.963</v>
      </c>
      <c r="H512" s="22">
        <v>0</v>
      </c>
      <c r="I512" s="22">
        <v>0</v>
      </c>
      <c r="O512" s="68">
        <f>O511*8/100</f>
        <v>0</v>
      </c>
      <c r="P512" s="68">
        <f>P511*8/100</f>
        <v>2414.4320000000002</v>
      </c>
      <c r="Q512" s="40">
        <f>Q511*8/100</f>
        <v>4915.9120000000003</v>
      </c>
      <c r="R512" s="40">
        <f>R511*8/100</f>
        <v>3438.6240000000003</v>
      </c>
    </row>
    <row r="513" spans="1:18" x14ac:dyDescent="0.25">
      <c r="A513" s="111"/>
      <c r="B513" s="111"/>
      <c r="C513" s="11"/>
      <c r="D513" s="11"/>
      <c r="E513" s="5" t="s">
        <v>172</v>
      </c>
      <c r="F513" s="22">
        <v>0</v>
      </c>
      <c r="G513" s="439">
        <v>532.98699999999997</v>
      </c>
      <c r="H513" s="22">
        <v>0</v>
      </c>
      <c r="I513" s="22">
        <v>0</v>
      </c>
      <c r="K513" s="63">
        <f>G527+H527+I527</f>
        <v>93112.7</v>
      </c>
      <c r="O513" s="471">
        <f>O512+P512</f>
        <v>2414.4320000000002</v>
      </c>
      <c r="P513" s="471"/>
      <c r="Q513" s="471">
        <f>Q512+R512</f>
        <v>8354.5360000000001</v>
      </c>
      <c r="R513" s="471"/>
    </row>
    <row r="514" spans="1:18" ht="25.5" x14ac:dyDescent="0.25">
      <c r="A514" s="111"/>
      <c r="B514" s="111"/>
      <c r="C514" s="11" t="s">
        <v>598</v>
      </c>
      <c r="D514" s="8"/>
      <c r="E514" s="10" t="s">
        <v>186</v>
      </c>
      <c r="F514" s="13" t="e">
        <f>#REF!</f>
        <v>#REF!</v>
      </c>
      <c r="G514" s="13">
        <v>0</v>
      </c>
      <c r="H514" s="13">
        <v>5435.3</v>
      </c>
      <c r="I514" s="13">
        <v>8354.5</v>
      </c>
    </row>
    <row r="515" spans="1:18" ht="26.25" x14ac:dyDescent="0.25">
      <c r="A515" s="111"/>
      <c r="B515" s="111"/>
      <c r="C515" s="11"/>
      <c r="D515" s="1" t="s">
        <v>658</v>
      </c>
      <c r="E515" s="2" t="s">
        <v>659</v>
      </c>
      <c r="F515" s="13"/>
      <c r="G515" s="13">
        <v>0</v>
      </c>
      <c r="H515" s="13">
        <v>5435.3</v>
      </c>
      <c r="I515" s="13">
        <v>8354.5</v>
      </c>
    </row>
    <row r="516" spans="1:18" x14ac:dyDescent="0.25">
      <c r="A516" s="111"/>
      <c r="B516" s="111"/>
      <c r="C516" s="11"/>
      <c r="D516" s="11"/>
      <c r="E516" s="5" t="s">
        <v>187</v>
      </c>
      <c r="F516" s="22">
        <v>0</v>
      </c>
      <c r="G516" s="22">
        <v>0</v>
      </c>
      <c r="H516" s="22">
        <v>0</v>
      </c>
      <c r="I516" s="22">
        <v>0</v>
      </c>
    </row>
    <row r="517" spans="1:18" x14ac:dyDescent="0.25">
      <c r="A517" s="111"/>
      <c r="B517" s="111"/>
      <c r="C517" s="11"/>
      <c r="D517" s="11"/>
      <c r="E517" s="5" t="s">
        <v>188</v>
      </c>
      <c r="F517" s="22">
        <v>0</v>
      </c>
      <c r="G517" s="22">
        <v>0</v>
      </c>
      <c r="H517" s="22">
        <v>0</v>
      </c>
      <c r="I517" s="22">
        <v>0</v>
      </c>
    </row>
    <row r="518" spans="1:18" x14ac:dyDescent="0.25">
      <c r="A518" s="111"/>
      <c r="B518" s="111"/>
      <c r="C518" s="11"/>
      <c r="D518" s="11"/>
      <c r="E518" s="5" t="s">
        <v>121</v>
      </c>
      <c r="F518" s="22">
        <v>0</v>
      </c>
      <c r="G518" s="22">
        <v>0</v>
      </c>
      <c r="H518" s="22">
        <v>5435.3</v>
      </c>
      <c r="I518" s="22">
        <v>8354.5</v>
      </c>
    </row>
    <row r="519" spans="1:18" ht="25.5" x14ac:dyDescent="0.25">
      <c r="A519" s="129"/>
      <c r="B519" s="130"/>
      <c r="C519" s="131" t="s">
        <v>354</v>
      </c>
      <c r="D519" s="130"/>
      <c r="E519" s="132" t="s">
        <v>355</v>
      </c>
      <c r="F519" s="22"/>
      <c r="G519" s="450">
        <f>G520</f>
        <v>599.99099999999999</v>
      </c>
      <c r="H519" s="147">
        <v>0</v>
      </c>
      <c r="I519" s="147">
        <v>0</v>
      </c>
    </row>
    <row r="520" spans="1:18" ht="26.25" x14ac:dyDescent="0.25">
      <c r="A520" s="49"/>
      <c r="B520" s="49"/>
      <c r="C520" s="49" t="s">
        <v>373</v>
      </c>
      <c r="D520" s="49"/>
      <c r="E520" s="82" t="s">
        <v>374</v>
      </c>
      <c r="F520" s="51" t="e">
        <f>#REF!+F521+#REF!+F534</f>
        <v>#REF!</v>
      </c>
      <c r="G520" s="447">
        <f>G521</f>
        <v>599.99099999999999</v>
      </c>
      <c r="H520" s="51">
        <v>0</v>
      </c>
      <c r="I520" s="51">
        <v>0</v>
      </c>
    </row>
    <row r="521" spans="1:18" ht="26.25" x14ac:dyDescent="0.25">
      <c r="A521" s="52"/>
      <c r="B521" s="52"/>
      <c r="C521" s="52" t="s">
        <v>380</v>
      </c>
      <c r="D521" s="52"/>
      <c r="E521" s="33" t="s">
        <v>381</v>
      </c>
      <c r="F521" s="25" t="e">
        <f>#REF!+#REF!+F530+F532+#REF!+F527</f>
        <v>#REF!</v>
      </c>
      <c r="G521" s="442">
        <f>G522</f>
        <v>599.99099999999999</v>
      </c>
      <c r="H521" s="25">
        <v>0</v>
      </c>
      <c r="I521" s="25">
        <v>0</v>
      </c>
    </row>
    <row r="522" spans="1:18" x14ac:dyDescent="0.25">
      <c r="A522" s="20"/>
      <c r="B522" s="20"/>
      <c r="C522" s="11" t="s">
        <v>1397</v>
      </c>
      <c r="D522" s="11"/>
      <c r="E522" s="31" t="s">
        <v>1396</v>
      </c>
      <c r="F522" s="45"/>
      <c r="G522" s="439">
        <f>G523</f>
        <v>599.99099999999999</v>
      </c>
      <c r="H522" s="45">
        <v>0</v>
      </c>
      <c r="I522" s="45">
        <v>0</v>
      </c>
    </row>
    <row r="523" spans="1:18" ht="26.25" x14ac:dyDescent="0.25">
      <c r="A523" s="20"/>
      <c r="B523" s="20"/>
      <c r="C523" s="11"/>
      <c r="D523" s="11" t="s">
        <v>344</v>
      </c>
      <c r="E523" s="2" t="s">
        <v>345</v>
      </c>
      <c r="F523" s="45"/>
      <c r="G523" s="439">
        <f>G524+G525+G526</f>
        <v>599.99099999999999</v>
      </c>
      <c r="H523" s="45">
        <v>0</v>
      </c>
      <c r="I523" s="45">
        <v>0</v>
      </c>
    </row>
    <row r="524" spans="1:18" x14ac:dyDescent="0.25">
      <c r="A524" s="20"/>
      <c r="B524" s="20"/>
      <c r="C524" s="11"/>
      <c r="D524" s="11"/>
      <c r="E524" s="84" t="s">
        <v>255</v>
      </c>
      <c r="F524" s="45"/>
      <c r="G524" s="439">
        <v>539.99099999999999</v>
      </c>
      <c r="H524" s="45">
        <v>0</v>
      </c>
      <c r="I524" s="45">
        <v>0</v>
      </c>
    </row>
    <row r="525" spans="1:18" x14ac:dyDescent="0.25">
      <c r="A525" s="20"/>
      <c r="B525" s="20"/>
      <c r="C525" s="11"/>
      <c r="D525" s="11"/>
      <c r="E525" s="84" t="s">
        <v>362</v>
      </c>
      <c r="F525" s="45"/>
      <c r="G525" s="22">
        <v>30</v>
      </c>
      <c r="H525" s="45">
        <v>0</v>
      </c>
      <c r="I525" s="45">
        <v>0</v>
      </c>
    </row>
    <row r="526" spans="1:18" x14ac:dyDescent="0.25">
      <c r="A526" s="20"/>
      <c r="B526" s="20"/>
      <c r="C526" s="11"/>
      <c r="D526" s="11"/>
      <c r="E526" s="84" t="s">
        <v>369</v>
      </c>
      <c r="F526" s="45"/>
      <c r="G526" s="22">
        <v>30</v>
      </c>
      <c r="H526" s="45">
        <v>0</v>
      </c>
      <c r="I526" s="45">
        <v>0</v>
      </c>
    </row>
    <row r="527" spans="1:18" x14ac:dyDescent="0.25">
      <c r="A527" s="110"/>
      <c r="B527" s="27" t="s">
        <v>734</v>
      </c>
      <c r="C527" s="116"/>
      <c r="D527" s="27"/>
      <c r="E527" s="122" t="s">
        <v>735</v>
      </c>
      <c r="F527" s="22"/>
      <c r="G527" s="45">
        <f>G528</f>
        <v>30952.5</v>
      </c>
      <c r="H527" s="45">
        <f t="shared" ref="H527:I528" si="130">H528</f>
        <v>31035.7</v>
      </c>
      <c r="I527" s="45">
        <f t="shared" si="130"/>
        <v>31124.5</v>
      </c>
    </row>
    <row r="528" spans="1:18" ht="25.5" x14ac:dyDescent="0.25">
      <c r="A528" s="110"/>
      <c r="B528" s="27"/>
      <c r="C528" s="116" t="s">
        <v>6</v>
      </c>
      <c r="D528" s="115"/>
      <c r="E528" s="122" t="s">
        <v>7</v>
      </c>
      <c r="F528" s="22"/>
      <c r="G528" s="45">
        <f>G529</f>
        <v>30952.5</v>
      </c>
      <c r="H528" s="45">
        <f t="shared" si="130"/>
        <v>31035.7</v>
      </c>
      <c r="I528" s="45">
        <f t="shared" si="130"/>
        <v>31124.5</v>
      </c>
    </row>
    <row r="529" spans="1:9" ht="25.5" x14ac:dyDescent="0.25">
      <c r="A529" s="129"/>
      <c r="B529" s="130"/>
      <c r="C529" s="131" t="s">
        <v>65</v>
      </c>
      <c r="D529" s="130"/>
      <c r="E529" s="132" t="s">
        <v>66</v>
      </c>
      <c r="F529" s="22" t="e">
        <f>F547+F563+#REF!+F648+F685+F729+F709</f>
        <v>#REF!</v>
      </c>
      <c r="G529" s="147">
        <f>G530</f>
        <v>30952.5</v>
      </c>
      <c r="H529" s="147">
        <f t="shared" ref="H529:I529" si="131">H530</f>
        <v>31035.7</v>
      </c>
      <c r="I529" s="147">
        <f t="shared" si="131"/>
        <v>31124.5</v>
      </c>
    </row>
    <row r="530" spans="1:9" x14ac:dyDescent="0.25">
      <c r="A530" s="49"/>
      <c r="B530" s="49"/>
      <c r="C530" s="49" t="s">
        <v>123</v>
      </c>
      <c r="D530" s="49"/>
      <c r="E530" s="50" t="s">
        <v>124</v>
      </c>
      <c r="F530" s="51" t="e">
        <f>F531</f>
        <v>#REF!</v>
      </c>
      <c r="G530" s="51">
        <f>G531</f>
        <v>30952.5</v>
      </c>
      <c r="H530" s="51">
        <f>H531</f>
        <v>31035.7</v>
      </c>
      <c r="I530" s="51">
        <f>I531</f>
        <v>31124.5</v>
      </c>
    </row>
    <row r="531" spans="1:9" ht="26.25" x14ac:dyDescent="0.25">
      <c r="A531" s="52"/>
      <c r="B531" s="52"/>
      <c r="C531" s="52" t="s">
        <v>125</v>
      </c>
      <c r="D531" s="56"/>
      <c r="E531" s="53" t="s">
        <v>126</v>
      </c>
      <c r="F531" s="25" t="e">
        <f>F532+F534+F560+F562+#REF!+F564+F566+F568</f>
        <v>#REF!</v>
      </c>
      <c r="G531" s="25">
        <f>G532+G534</f>
        <v>30952.5</v>
      </c>
      <c r="H531" s="25">
        <f t="shared" ref="H531:I531" si="132">H532+H534</f>
        <v>31035.7</v>
      </c>
      <c r="I531" s="25">
        <f t="shared" si="132"/>
        <v>31124.5</v>
      </c>
    </row>
    <row r="532" spans="1:9" ht="26.25" x14ac:dyDescent="0.25">
      <c r="A532" s="111"/>
      <c r="B532" s="111"/>
      <c r="C532" s="11" t="s">
        <v>127</v>
      </c>
      <c r="D532" s="20"/>
      <c r="E532" s="5" t="s">
        <v>596</v>
      </c>
      <c r="F532" s="22" t="e">
        <f>#REF!</f>
        <v>#REF!</v>
      </c>
      <c r="G532" s="22">
        <f>19664.1-55.8</f>
        <v>19608.3</v>
      </c>
      <c r="H532" s="22">
        <f>19751.9-99.2</f>
        <v>19652.7</v>
      </c>
      <c r="I532" s="22">
        <f>19847.6-128.1</f>
        <v>19719.5</v>
      </c>
    </row>
    <row r="533" spans="1:9" ht="26.25" x14ac:dyDescent="0.25">
      <c r="A533" s="111"/>
      <c r="B533" s="111"/>
      <c r="C533" s="11"/>
      <c r="D533" s="1" t="s">
        <v>658</v>
      </c>
      <c r="E533" s="2" t="s">
        <v>659</v>
      </c>
      <c r="F533" s="22"/>
      <c r="G533" s="22">
        <f>19664.1-55.8</f>
        <v>19608.3</v>
      </c>
      <c r="H533" s="22">
        <f>19751.9-99.2</f>
        <v>19652.7</v>
      </c>
      <c r="I533" s="22">
        <f>19847.6-128.1</f>
        <v>19719.5</v>
      </c>
    </row>
    <row r="534" spans="1:9" ht="26.25" x14ac:dyDescent="0.25">
      <c r="A534" s="111"/>
      <c r="B534" s="111"/>
      <c r="C534" s="11" t="s">
        <v>128</v>
      </c>
      <c r="D534" s="20"/>
      <c r="E534" s="5" t="s">
        <v>129</v>
      </c>
      <c r="F534" s="22" t="e">
        <f>#REF!</f>
        <v>#REF!</v>
      </c>
      <c r="G534" s="22">
        <f>11630.2-286</f>
        <v>11344.2</v>
      </c>
      <c r="H534" s="22">
        <f>11742-359</f>
        <v>11383</v>
      </c>
      <c r="I534" s="22">
        <f>11858.6-453.6</f>
        <v>11405</v>
      </c>
    </row>
    <row r="535" spans="1:9" ht="26.25" x14ac:dyDescent="0.25">
      <c r="A535" s="111"/>
      <c r="B535" s="111"/>
      <c r="C535" s="11"/>
      <c r="D535" s="1" t="s">
        <v>658</v>
      </c>
      <c r="E535" s="2" t="s">
        <v>659</v>
      </c>
      <c r="F535" s="22"/>
      <c r="G535" s="22">
        <f>11630.2-286</f>
        <v>11344.2</v>
      </c>
      <c r="H535" s="22">
        <f>11742-359</f>
        <v>11383</v>
      </c>
      <c r="I535" s="22">
        <f>11858.6-453.6</f>
        <v>11405</v>
      </c>
    </row>
    <row r="536" spans="1:9" x14ac:dyDescent="0.25">
      <c r="A536" s="110"/>
      <c r="B536" s="27" t="s">
        <v>738</v>
      </c>
      <c r="C536" s="116"/>
      <c r="D536" s="27"/>
      <c r="E536" s="122" t="s">
        <v>739</v>
      </c>
      <c r="F536" s="22"/>
      <c r="G536" s="45">
        <f>G537</f>
        <v>6018.2999999999993</v>
      </c>
      <c r="H536" s="45">
        <f t="shared" ref="H536:I538" si="133">H537</f>
        <v>6325.5</v>
      </c>
      <c r="I536" s="45">
        <f t="shared" si="133"/>
        <v>6757.1</v>
      </c>
    </row>
    <row r="537" spans="1:9" x14ac:dyDescent="0.25">
      <c r="A537" s="110"/>
      <c r="B537" s="27"/>
      <c r="C537" s="116" t="s">
        <v>740</v>
      </c>
      <c r="D537" s="27"/>
      <c r="E537" s="12" t="s">
        <v>693</v>
      </c>
      <c r="F537" s="22"/>
      <c r="G537" s="45">
        <f>G538</f>
        <v>6018.2999999999993</v>
      </c>
      <c r="H537" s="45">
        <f t="shared" si="133"/>
        <v>6325.5</v>
      </c>
      <c r="I537" s="45">
        <f t="shared" si="133"/>
        <v>6757.1</v>
      </c>
    </row>
    <row r="538" spans="1:9" ht="25.5" x14ac:dyDescent="0.25">
      <c r="A538" s="129"/>
      <c r="B538" s="130"/>
      <c r="C538" s="131" t="s">
        <v>65</v>
      </c>
      <c r="D538" s="130"/>
      <c r="E538" s="132" t="s">
        <v>66</v>
      </c>
      <c r="F538" s="22"/>
      <c r="G538" s="147">
        <f>G539</f>
        <v>6018.2999999999993</v>
      </c>
      <c r="H538" s="147">
        <f t="shared" si="133"/>
        <v>6325.5</v>
      </c>
      <c r="I538" s="147">
        <f t="shared" si="133"/>
        <v>6757.1</v>
      </c>
    </row>
    <row r="539" spans="1:9" ht="26.25" x14ac:dyDescent="0.25">
      <c r="A539" s="49"/>
      <c r="B539" s="49"/>
      <c r="C539" s="49" t="s">
        <v>139</v>
      </c>
      <c r="D539" s="49"/>
      <c r="E539" s="55" t="s">
        <v>140</v>
      </c>
      <c r="F539" s="51" t="e">
        <f t="shared" ref="F539:I539" si="134">F540</f>
        <v>#REF!</v>
      </c>
      <c r="G539" s="51">
        <f t="shared" si="134"/>
        <v>6018.2999999999993</v>
      </c>
      <c r="H539" s="51">
        <f t="shared" si="134"/>
        <v>6325.5</v>
      </c>
      <c r="I539" s="51">
        <f t="shared" si="134"/>
        <v>6757.1</v>
      </c>
    </row>
    <row r="540" spans="1:9" ht="26.25" x14ac:dyDescent="0.25">
      <c r="A540" s="52"/>
      <c r="B540" s="52"/>
      <c r="C540" s="52" t="s">
        <v>141</v>
      </c>
      <c r="D540" s="52"/>
      <c r="E540" s="53" t="s">
        <v>142</v>
      </c>
      <c r="F540" s="25" t="e">
        <f>F545+F541+F543</f>
        <v>#REF!</v>
      </c>
      <c r="G540" s="25">
        <f>G545+G541+G543</f>
        <v>6018.2999999999993</v>
      </c>
      <c r="H540" s="25">
        <f>H545+H541+H543</f>
        <v>6325.5</v>
      </c>
      <c r="I540" s="25">
        <f>I545+I541+I543</f>
        <v>6757.1</v>
      </c>
    </row>
    <row r="541" spans="1:9" ht="26.25" x14ac:dyDescent="0.25">
      <c r="A541" s="111"/>
      <c r="B541" s="111"/>
      <c r="C541" s="11" t="s">
        <v>143</v>
      </c>
      <c r="D541" s="11"/>
      <c r="E541" s="5" t="s">
        <v>144</v>
      </c>
      <c r="F541" s="22" t="e">
        <f>#REF!</f>
        <v>#REF!</v>
      </c>
      <c r="G541" s="22">
        <v>105.7</v>
      </c>
      <c r="H541" s="22">
        <v>109.9</v>
      </c>
      <c r="I541" s="22">
        <v>114.3</v>
      </c>
    </row>
    <row r="542" spans="1:9" ht="26.25" x14ac:dyDescent="0.25">
      <c r="A542" s="111"/>
      <c r="B542" s="111"/>
      <c r="C542" s="11"/>
      <c r="D542" s="1" t="s">
        <v>658</v>
      </c>
      <c r="E542" s="2" t="s">
        <v>659</v>
      </c>
      <c r="F542" s="22"/>
      <c r="G542" s="22">
        <v>105.7</v>
      </c>
      <c r="H542" s="22">
        <v>109.9</v>
      </c>
      <c r="I542" s="22">
        <v>114.3</v>
      </c>
    </row>
    <row r="543" spans="1:9" ht="26.25" x14ac:dyDescent="0.25">
      <c r="A543" s="111"/>
      <c r="B543" s="111"/>
      <c r="C543" s="11" t="s">
        <v>145</v>
      </c>
      <c r="D543" s="11"/>
      <c r="E543" s="5" t="s">
        <v>146</v>
      </c>
      <c r="F543" s="22">
        <v>1870</v>
      </c>
      <c r="G543" s="22">
        <f>G544</f>
        <v>1492.2</v>
      </c>
      <c r="H543" s="22">
        <f t="shared" ref="H543:I543" si="135">H544</f>
        <v>1551.9</v>
      </c>
      <c r="I543" s="22">
        <f t="shared" si="135"/>
        <v>1614.1</v>
      </c>
    </row>
    <row r="544" spans="1:9" ht="26.25" x14ac:dyDescent="0.25">
      <c r="A544" s="111"/>
      <c r="B544" s="111"/>
      <c r="C544" s="11"/>
      <c r="D544" s="1" t="s">
        <v>658</v>
      </c>
      <c r="E544" s="2" t="s">
        <v>659</v>
      </c>
      <c r="F544" s="22"/>
      <c r="G544" s="22">
        <f>1605.7-113.5</f>
        <v>1492.2</v>
      </c>
      <c r="H544" s="22">
        <f>1670-118.1</f>
        <v>1551.9</v>
      </c>
      <c r="I544" s="22">
        <f>1736.8-122.7</f>
        <v>1614.1</v>
      </c>
    </row>
    <row r="545" spans="1:11" ht="39" x14ac:dyDescent="0.25">
      <c r="A545" s="111"/>
      <c r="B545" s="111"/>
      <c r="C545" s="11" t="s">
        <v>147</v>
      </c>
      <c r="D545" s="11"/>
      <c r="E545" s="5" t="s">
        <v>148</v>
      </c>
      <c r="F545" s="22" t="e">
        <f>#REF!+#REF!+#REF!</f>
        <v>#REF!</v>
      </c>
      <c r="G545" s="22">
        <v>4420.3999999999996</v>
      </c>
      <c r="H545" s="22">
        <v>4663.7</v>
      </c>
      <c r="I545" s="22">
        <v>5028.7</v>
      </c>
    </row>
    <row r="546" spans="1:11" x14ac:dyDescent="0.25">
      <c r="A546" s="111"/>
      <c r="B546" s="111"/>
      <c r="C546" s="11"/>
      <c r="D546" s="11" t="s">
        <v>564</v>
      </c>
      <c r="E546" s="2" t="s">
        <v>565</v>
      </c>
      <c r="F546" s="22"/>
      <c r="G546" s="22">
        <v>73</v>
      </c>
      <c r="H546" s="22">
        <v>73</v>
      </c>
      <c r="I546" s="22">
        <v>73</v>
      </c>
    </row>
    <row r="547" spans="1:11" ht="26.25" x14ac:dyDescent="0.25">
      <c r="A547" s="111"/>
      <c r="B547" s="111"/>
      <c r="C547" s="11"/>
      <c r="D547" s="1" t="s">
        <v>658</v>
      </c>
      <c r="E547" s="2" t="s">
        <v>659</v>
      </c>
      <c r="F547" s="22"/>
      <c r="G547" s="22">
        <v>4269.5999999999995</v>
      </c>
      <c r="H547" s="22">
        <v>4512.8999999999996</v>
      </c>
      <c r="I547" s="22">
        <v>4877.8999999999996</v>
      </c>
    </row>
    <row r="548" spans="1:11" x14ac:dyDescent="0.25">
      <c r="A548" s="111"/>
      <c r="B548" s="111"/>
      <c r="C548" s="11"/>
      <c r="D548" s="1" t="s">
        <v>543</v>
      </c>
      <c r="E548" s="2" t="s">
        <v>544</v>
      </c>
      <c r="F548" s="22"/>
      <c r="G548" s="22">
        <v>77.8</v>
      </c>
      <c r="H548" s="22">
        <v>77.8</v>
      </c>
      <c r="I548" s="22">
        <v>77.8</v>
      </c>
    </row>
    <row r="549" spans="1:11" x14ac:dyDescent="0.25">
      <c r="A549" s="110"/>
      <c r="B549" s="27" t="s">
        <v>736</v>
      </c>
      <c r="C549" s="116"/>
      <c r="D549" s="27"/>
      <c r="E549" s="122" t="s">
        <v>737</v>
      </c>
      <c r="F549" s="22"/>
      <c r="G549" s="45">
        <f>G550</f>
        <v>6987.5</v>
      </c>
      <c r="H549" s="45">
        <f t="shared" ref="H549:I549" si="136">H550</f>
        <v>7005.9</v>
      </c>
      <c r="I549" s="45">
        <f t="shared" si="136"/>
        <v>7027.2</v>
      </c>
    </row>
    <row r="550" spans="1:11" ht="25.5" x14ac:dyDescent="0.25">
      <c r="A550" s="110"/>
      <c r="B550" s="27"/>
      <c r="C550" s="116" t="s">
        <v>6</v>
      </c>
      <c r="D550" s="27"/>
      <c r="E550" s="122" t="s">
        <v>7</v>
      </c>
      <c r="F550" s="22"/>
      <c r="G550" s="45">
        <f>G551+G557</f>
        <v>6987.5</v>
      </c>
      <c r="H550" s="45">
        <f t="shared" ref="H550:I550" si="137">H551+H557</f>
        <v>7005.9</v>
      </c>
      <c r="I550" s="45">
        <f t="shared" si="137"/>
        <v>7027.2</v>
      </c>
    </row>
    <row r="551" spans="1:11" ht="25.5" x14ac:dyDescent="0.25">
      <c r="A551" s="129"/>
      <c r="B551" s="130"/>
      <c r="C551" s="131" t="s">
        <v>8</v>
      </c>
      <c r="D551" s="130"/>
      <c r="E551" s="132" t="s">
        <v>9</v>
      </c>
      <c r="F551" s="22"/>
      <c r="G551" s="147">
        <f>G552</f>
        <v>6019</v>
      </c>
      <c r="H551" s="147">
        <f t="shared" ref="H551:I551" si="138">H552</f>
        <v>6019</v>
      </c>
      <c r="I551" s="147">
        <f t="shared" si="138"/>
        <v>6019</v>
      </c>
    </row>
    <row r="552" spans="1:11" ht="39" x14ac:dyDescent="0.25">
      <c r="A552" s="49"/>
      <c r="B552" s="49"/>
      <c r="C552" s="49" t="s">
        <v>25</v>
      </c>
      <c r="D552" s="49"/>
      <c r="E552" s="55" t="s">
        <v>26</v>
      </c>
      <c r="F552" s="51" t="e">
        <f>F553</f>
        <v>#REF!</v>
      </c>
      <c r="G552" s="51">
        <f>G553</f>
        <v>6019</v>
      </c>
      <c r="H552" s="51">
        <f>H553</f>
        <v>6019</v>
      </c>
      <c r="I552" s="51">
        <f>I553</f>
        <v>6019</v>
      </c>
    </row>
    <row r="553" spans="1:11" ht="39" x14ac:dyDescent="0.25">
      <c r="A553" s="52"/>
      <c r="B553" s="52"/>
      <c r="C553" s="52" t="s">
        <v>27</v>
      </c>
      <c r="D553" s="52"/>
      <c r="E553" s="53" t="s">
        <v>28</v>
      </c>
      <c r="F553" s="25" t="e">
        <f>#REF!+F554+#REF!+F383+#REF!</f>
        <v>#REF!</v>
      </c>
      <c r="G553" s="25">
        <f>G554</f>
        <v>6019</v>
      </c>
      <c r="H553" s="25">
        <f t="shared" ref="H553:I553" si="139">H554</f>
        <v>6019</v>
      </c>
      <c r="I553" s="25">
        <f t="shared" si="139"/>
        <v>6019</v>
      </c>
    </row>
    <row r="554" spans="1:11" ht="25.5" x14ac:dyDescent="0.25">
      <c r="A554" s="111"/>
      <c r="B554" s="111"/>
      <c r="C554" s="11" t="s">
        <v>31</v>
      </c>
      <c r="D554" s="11"/>
      <c r="E554" s="3" t="s">
        <v>32</v>
      </c>
      <c r="F554" s="22" t="e">
        <f>#REF!+#REF!</f>
        <v>#REF!</v>
      </c>
      <c r="G554" s="22">
        <f>G555+G556</f>
        <v>6019</v>
      </c>
      <c r="H554" s="22">
        <f t="shared" ref="H554:I554" si="140">H555+H556</f>
        <v>6019</v>
      </c>
      <c r="I554" s="22">
        <f t="shared" si="140"/>
        <v>6019</v>
      </c>
      <c r="K554" s="63">
        <f>G539+H539+I539</f>
        <v>19100.900000000001</v>
      </c>
    </row>
    <row r="555" spans="1:11" ht="51.75" x14ac:dyDescent="0.25">
      <c r="A555" s="111"/>
      <c r="B555" s="111"/>
      <c r="C555" s="11"/>
      <c r="D555" s="11" t="s">
        <v>535</v>
      </c>
      <c r="E555" s="5" t="s">
        <v>536</v>
      </c>
      <c r="F555" s="22"/>
      <c r="G555" s="22">
        <v>5804</v>
      </c>
      <c r="H555" s="22">
        <v>5804</v>
      </c>
      <c r="I555" s="22">
        <v>5804</v>
      </c>
    </row>
    <row r="556" spans="1:11" ht="26.25" x14ac:dyDescent="0.25">
      <c r="A556" s="111"/>
      <c r="B556" s="111"/>
      <c r="C556" s="11"/>
      <c r="D556" s="11" t="s">
        <v>344</v>
      </c>
      <c r="E556" s="5" t="s">
        <v>345</v>
      </c>
      <c r="F556" s="22"/>
      <c r="G556" s="22">
        <v>215</v>
      </c>
      <c r="H556" s="22">
        <v>215</v>
      </c>
      <c r="I556" s="22">
        <v>215</v>
      </c>
    </row>
    <row r="557" spans="1:11" ht="25.5" x14ac:dyDescent="0.25">
      <c r="A557" s="129"/>
      <c r="B557" s="130"/>
      <c r="C557" s="131" t="s">
        <v>65</v>
      </c>
      <c r="D557" s="130"/>
      <c r="E557" s="132" t="s">
        <v>66</v>
      </c>
      <c r="F557" s="22"/>
      <c r="G557" s="147">
        <f>G558+G570+G576</f>
        <v>968.5</v>
      </c>
      <c r="H557" s="147">
        <f t="shared" ref="H557:I557" si="141">H558+H570+H576</f>
        <v>986.90000000000009</v>
      </c>
      <c r="I557" s="147">
        <f t="shared" si="141"/>
        <v>1008.1999999999999</v>
      </c>
    </row>
    <row r="558" spans="1:11" x14ac:dyDescent="0.25">
      <c r="A558" s="49"/>
      <c r="B558" s="49"/>
      <c r="C558" s="49" t="s">
        <v>123</v>
      </c>
      <c r="D558" s="49"/>
      <c r="E558" s="55" t="s">
        <v>124</v>
      </c>
      <c r="F558" s="51"/>
      <c r="G558" s="51">
        <f>G559</f>
        <v>688.3</v>
      </c>
      <c r="H558" s="51">
        <f t="shared" ref="H558:I558" si="142">H559</f>
        <v>700.90000000000009</v>
      </c>
      <c r="I558" s="51">
        <f t="shared" si="142"/>
        <v>716.3</v>
      </c>
    </row>
    <row r="559" spans="1:11" ht="26.25" x14ac:dyDescent="0.25">
      <c r="A559" s="52"/>
      <c r="B559" s="52"/>
      <c r="C559" s="52" t="s">
        <v>125</v>
      </c>
      <c r="D559" s="52"/>
      <c r="E559" s="53" t="s">
        <v>126</v>
      </c>
      <c r="F559" s="25"/>
      <c r="G559" s="25">
        <f>G560+G562+G564+G566+G568</f>
        <v>688.3</v>
      </c>
      <c r="H559" s="25">
        <f t="shared" ref="H559:I559" si="143">H560+H562+H564+H566+H568</f>
        <v>700.90000000000009</v>
      </c>
      <c r="I559" s="25">
        <f t="shared" si="143"/>
        <v>716.3</v>
      </c>
    </row>
    <row r="560" spans="1:11" x14ac:dyDescent="0.25">
      <c r="A560" s="111"/>
      <c r="B560" s="111"/>
      <c r="C560" s="11" t="s">
        <v>130</v>
      </c>
      <c r="D560" s="11"/>
      <c r="E560" s="5" t="s">
        <v>131</v>
      </c>
      <c r="F560" s="22" t="e">
        <f>#REF!</f>
        <v>#REF!</v>
      </c>
      <c r="G560" s="22">
        <v>274.2</v>
      </c>
      <c r="H560" s="22">
        <v>278.2</v>
      </c>
      <c r="I560" s="22">
        <v>282.39999999999998</v>
      </c>
    </row>
    <row r="561" spans="1:11" ht="26.25" x14ac:dyDescent="0.25">
      <c r="A561" s="111"/>
      <c r="B561" s="111"/>
      <c r="C561" s="11"/>
      <c r="D561" s="1" t="s">
        <v>658</v>
      </c>
      <c r="E561" s="2" t="s">
        <v>659</v>
      </c>
      <c r="F561" s="22"/>
      <c r="G561" s="22">
        <v>274.2</v>
      </c>
      <c r="H561" s="22">
        <v>278.2</v>
      </c>
      <c r="I561" s="22">
        <v>282.39999999999998</v>
      </c>
    </row>
    <row r="562" spans="1:11" x14ac:dyDescent="0.25">
      <c r="A562" s="111"/>
      <c r="B562" s="111"/>
      <c r="C562" s="11" t="s">
        <v>132</v>
      </c>
      <c r="D562" s="11"/>
      <c r="E562" s="5" t="s">
        <v>133</v>
      </c>
      <c r="F562" s="22" t="e">
        <f>#REF!</f>
        <v>#REF!</v>
      </c>
      <c r="G562" s="22">
        <v>100.1</v>
      </c>
      <c r="H562" s="22">
        <v>100.7</v>
      </c>
      <c r="I562" s="22">
        <v>101.4</v>
      </c>
    </row>
    <row r="563" spans="1:11" ht="26.25" x14ac:dyDescent="0.25">
      <c r="A563" s="111"/>
      <c r="B563" s="111"/>
      <c r="C563" s="11"/>
      <c r="D563" s="1" t="s">
        <v>658</v>
      </c>
      <c r="E563" s="2" t="s">
        <v>659</v>
      </c>
      <c r="F563" s="22"/>
      <c r="G563" s="22">
        <v>100.1</v>
      </c>
      <c r="H563" s="22">
        <v>100.7</v>
      </c>
      <c r="I563" s="22">
        <v>101.4</v>
      </c>
    </row>
    <row r="564" spans="1:11" ht="26.25" x14ac:dyDescent="0.25">
      <c r="A564" s="111"/>
      <c r="B564" s="111"/>
      <c r="C564" s="11" t="s">
        <v>134</v>
      </c>
      <c r="D564" s="11"/>
      <c r="E564" s="5" t="s">
        <v>135</v>
      </c>
      <c r="F564" s="22" t="e">
        <f>#REF!</f>
        <v>#REF!</v>
      </c>
      <c r="G564" s="22">
        <v>74.599999999999994</v>
      </c>
      <c r="H564" s="22">
        <v>76.8</v>
      </c>
      <c r="I564" s="22">
        <v>81.2</v>
      </c>
    </row>
    <row r="565" spans="1:11" ht="26.25" x14ac:dyDescent="0.25">
      <c r="A565" s="111"/>
      <c r="B565" s="111"/>
      <c r="C565" s="11"/>
      <c r="D565" s="1" t="s">
        <v>658</v>
      </c>
      <c r="E565" s="2" t="s">
        <v>659</v>
      </c>
      <c r="F565" s="22"/>
      <c r="G565" s="22">
        <v>74.599999999999994</v>
      </c>
      <c r="H565" s="22">
        <v>76.8</v>
      </c>
      <c r="I565" s="22">
        <v>81.2</v>
      </c>
    </row>
    <row r="566" spans="1:11" ht="39" x14ac:dyDescent="0.25">
      <c r="A566" s="111"/>
      <c r="B566" s="111"/>
      <c r="C566" s="11" t="s">
        <v>136</v>
      </c>
      <c r="D566" s="11"/>
      <c r="E566" s="5" t="s">
        <v>137</v>
      </c>
      <c r="F566" s="22" t="e">
        <f>#REF!</f>
        <v>#REF!</v>
      </c>
      <c r="G566" s="22">
        <v>83.7</v>
      </c>
      <c r="H566" s="22">
        <v>85.4</v>
      </c>
      <c r="I566" s="22">
        <v>87.3</v>
      </c>
    </row>
    <row r="567" spans="1:11" ht="26.25" x14ac:dyDescent="0.25">
      <c r="A567" s="111"/>
      <c r="B567" s="111"/>
      <c r="C567" s="11"/>
      <c r="D567" s="1" t="s">
        <v>658</v>
      </c>
      <c r="E567" s="2" t="s">
        <v>659</v>
      </c>
      <c r="F567" s="22"/>
      <c r="G567" s="22">
        <v>83.7</v>
      </c>
      <c r="H567" s="22">
        <v>85.4</v>
      </c>
      <c r="I567" s="22">
        <v>87.3</v>
      </c>
    </row>
    <row r="568" spans="1:11" ht="26.25" x14ac:dyDescent="0.25">
      <c r="A568" s="111"/>
      <c r="B568" s="111"/>
      <c r="C568" s="11" t="s">
        <v>597</v>
      </c>
      <c r="D568" s="11"/>
      <c r="E568" s="5" t="s">
        <v>138</v>
      </c>
      <c r="F568" s="22" t="e">
        <f>#REF!</f>
        <v>#REF!</v>
      </c>
      <c r="G568" s="22">
        <v>155.69999999999999</v>
      </c>
      <c r="H568" s="22">
        <v>159.80000000000001</v>
      </c>
      <c r="I568" s="22">
        <v>164</v>
      </c>
    </row>
    <row r="569" spans="1:11" ht="26.25" x14ac:dyDescent="0.25">
      <c r="A569" s="111"/>
      <c r="B569" s="111"/>
      <c r="C569" s="11"/>
      <c r="D569" s="1" t="s">
        <v>658</v>
      </c>
      <c r="E569" s="2" t="s">
        <v>659</v>
      </c>
      <c r="F569" s="22"/>
      <c r="G569" s="22">
        <v>155.69999999999999</v>
      </c>
      <c r="H569" s="22">
        <v>159.80000000000001</v>
      </c>
      <c r="I569" s="22">
        <v>164</v>
      </c>
    </row>
    <row r="570" spans="1:11" x14ac:dyDescent="0.25">
      <c r="A570" s="49"/>
      <c r="B570" s="49"/>
      <c r="C570" s="49" t="s">
        <v>149</v>
      </c>
      <c r="D570" s="49"/>
      <c r="E570" s="50" t="s">
        <v>150</v>
      </c>
      <c r="F570" s="51" t="e">
        <f>F571+F597</f>
        <v>#REF!</v>
      </c>
      <c r="G570" s="51">
        <f>G571</f>
        <v>240</v>
      </c>
      <c r="H570" s="51">
        <f t="shared" ref="H570:I570" si="144">H571</f>
        <v>245.2</v>
      </c>
      <c r="I570" s="51">
        <f t="shared" si="144"/>
        <v>250.5</v>
      </c>
    </row>
    <row r="571" spans="1:11" ht="26.25" x14ac:dyDescent="0.25">
      <c r="A571" s="52"/>
      <c r="B571" s="52"/>
      <c r="C571" s="52" t="s">
        <v>151</v>
      </c>
      <c r="D571" s="52"/>
      <c r="E571" s="53" t="s">
        <v>152</v>
      </c>
      <c r="F571" s="25" t="e">
        <f>F574+F572</f>
        <v>#REF!</v>
      </c>
      <c r="G571" s="25">
        <f>G574+G572</f>
        <v>240</v>
      </c>
      <c r="H571" s="25">
        <f>H574+H572</f>
        <v>245.2</v>
      </c>
      <c r="I571" s="25">
        <f>I574+I572</f>
        <v>250.5</v>
      </c>
    </row>
    <row r="572" spans="1:11" x14ac:dyDescent="0.25">
      <c r="A572" s="64"/>
      <c r="B572" s="64"/>
      <c r="C572" s="64" t="s">
        <v>153</v>
      </c>
      <c r="D572" s="64"/>
      <c r="E572" s="65" t="s">
        <v>154</v>
      </c>
      <c r="F572" s="22" t="e">
        <f>#REF!</f>
        <v>#REF!</v>
      </c>
      <c r="G572" s="22">
        <v>133.69999999999999</v>
      </c>
      <c r="H572" s="22">
        <v>134.6</v>
      </c>
      <c r="I572" s="22">
        <v>135.5</v>
      </c>
      <c r="K572" s="63" t="e">
        <f>#REF!+#REF!+#REF!</f>
        <v>#REF!</v>
      </c>
    </row>
    <row r="573" spans="1:11" ht="26.25" x14ac:dyDescent="0.25">
      <c r="A573" s="64"/>
      <c r="B573" s="64"/>
      <c r="C573" s="64"/>
      <c r="D573" s="6" t="s">
        <v>658</v>
      </c>
      <c r="E573" s="7" t="s">
        <v>659</v>
      </c>
      <c r="F573" s="22"/>
      <c r="G573" s="22">
        <v>133.69999999999999</v>
      </c>
      <c r="H573" s="22">
        <v>134.6</v>
      </c>
      <c r="I573" s="22">
        <v>135.5</v>
      </c>
    </row>
    <row r="574" spans="1:11" ht="26.25" x14ac:dyDescent="0.25">
      <c r="A574" s="11"/>
      <c r="B574" s="11"/>
      <c r="C574" s="11" t="s">
        <v>155</v>
      </c>
      <c r="D574" s="11"/>
      <c r="E574" s="5" t="s">
        <v>156</v>
      </c>
      <c r="F574" s="22" t="e">
        <f>#REF!</f>
        <v>#REF!</v>
      </c>
      <c r="G574" s="22">
        <v>106.3</v>
      </c>
      <c r="H574" s="22">
        <v>110.6</v>
      </c>
      <c r="I574" s="22">
        <v>115</v>
      </c>
    </row>
    <row r="575" spans="1:11" ht="26.25" x14ac:dyDescent="0.25">
      <c r="A575" s="11"/>
      <c r="B575" s="11"/>
      <c r="C575" s="11"/>
      <c r="D575" s="6" t="s">
        <v>658</v>
      </c>
      <c r="E575" s="7" t="s">
        <v>659</v>
      </c>
      <c r="F575" s="22"/>
      <c r="G575" s="22">
        <v>106.3</v>
      </c>
      <c r="H575" s="22">
        <v>110.6</v>
      </c>
      <c r="I575" s="22">
        <v>115</v>
      </c>
    </row>
    <row r="576" spans="1:11" ht="26.25" x14ac:dyDescent="0.25">
      <c r="A576" s="49"/>
      <c r="B576" s="49"/>
      <c r="C576" s="49" t="s">
        <v>189</v>
      </c>
      <c r="D576" s="49"/>
      <c r="E576" s="50" t="s">
        <v>190</v>
      </c>
      <c r="F576" s="51" t="e">
        <f t="shared" ref="F576:I577" si="145">F577</f>
        <v>#REF!</v>
      </c>
      <c r="G576" s="51">
        <f t="shared" si="145"/>
        <v>40.200000000000003</v>
      </c>
      <c r="H576" s="51">
        <f t="shared" si="145"/>
        <v>40.799999999999997</v>
      </c>
      <c r="I576" s="51">
        <f t="shared" si="145"/>
        <v>41.4</v>
      </c>
    </row>
    <row r="577" spans="1:11" ht="31.5" customHeight="1" x14ac:dyDescent="0.25">
      <c r="A577" s="52"/>
      <c r="B577" s="52"/>
      <c r="C577" s="52" t="s">
        <v>191</v>
      </c>
      <c r="D577" s="52"/>
      <c r="E577" s="53" t="s">
        <v>192</v>
      </c>
      <c r="F577" s="25" t="e">
        <f t="shared" si="145"/>
        <v>#REF!</v>
      </c>
      <c r="G577" s="25">
        <f t="shared" si="145"/>
        <v>40.200000000000003</v>
      </c>
      <c r="H577" s="25">
        <f t="shared" si="145"/>
        <v>40.799999999999997</v>
      </c>
      <c r="I577" s="25">
        <f t="shared" si="145"/>
        <v>41.4</v>
      </c>
    </row>
    <row r="578" spans="1:11" ht="29.25" customHeight="1" x14ac:dyDescent="0.25">
      <c r="A578" s="111"/>
      <c r="B578" s="111"/>
      <c r="C578" s="11" t="s">
        <v>193</v>
      </c>
      <c r="D578" s="11"/>
      <c r="E578" s="5" t="s">
        <v>194</v>
      </c>
      <c r="F578" s="22" t="e">
        <f>#REF!</f>
        <v>#REF!</v>
      </c>
      <c r="G578" s="22">
        <v>40.200000000000003</v>
      </c>
      <c r="H578" s="22">
        <v>40.799999999999997</v>
      </c>
      <c r="I578" s="22">
        <v>41.4</v>
      </c>
    </row>
    <row r="579" spans="1:11" ht="26.25" x14ac:dyDescent="0.25">
      <c r="A579" s="111"/>
      <c r="B579" s="111"/>
      <c r="C579" s="11"/>
      <c r="D579" s="1" t="s">
        <v>658</v>
      </c>
      <c r="E579" s="2" t="s">
        <v>659</v>
      </c>
      <c r="F579" s="22"/>
      <c r="G579" s="22">
        <v>40.200000000000003</v>
      </c>
      <c r="H579" s="22">
        <v>40.799999999999997</v>
      </c>
      <c r="I579" s="22">
        <v>41.4</v>
      </c>
    </row>
    <row r="580" spans="1:11" x14ac:dyDescent="0.25">
      <c r="A580" s="111"/>
      <c r="B580" s="27">
        <v>1000</v>
      </c>
      <c r="C580" s="116"/>
      <c r="D580" s="115"/>
      <c r="E580" s="117" t="s">
        <v>722</v>
      </c>
      <c r="F580" s="22"/>
      <c r="G580" s="45">
        <f>G581+G608</f>
        <v>31218.5</v>
      </c>
      <c r="H580" s="45">
        <f t="shared" ref="H580:I580" si="146">H581+H608</f>
        <v>29599.4</v>
      </c>
      <c r="I580" s="45">
        <f t="shared" si="146"/>
        <v>29445.399999999998</v>
      </c>
    </row>
    <row r="581" spans="1:11" x14ac:dyDescent="0.25">
      <c r="A581" s="111"/>
      <c r="B581" s="27">
        <v>1003</v>
      </c>
      <c r="C581" s="116"/>
      <c r="D581" s="115"/>
      <c r="E581" s="117" t="s">
        <v>726</v>
      </c>
      <c r="F581" s="22"/>
      <c r="G581" s="45">
        <f>G582</f>
        <v>26098.6</v>
      </c>
      <c r="H581" s="45">
        <f t="shared" ref="H581:I582" si="147">H582</f>
        <v>25864.7</v>
      </c>
      <c r="I581" s="45">
        <f t="shared" si="147"/>
        <v>25710.699999999997</v>
      </c>
    </row>
    <row r="582" spans="1:11" ht="25.5" x14ac:dyDescent="0.25">
      <c r="A582" s="111"/>
      <c r="B582" s="27"/>
      <c r="C582" s="116" t="s">
        <v>6</v>
      </c>
      <c r="D582" s="115"/>
      <c r="E582" s="122" t="s">
        <v>7</v>
      </c>
      <c r="F582" s="22"/>
      <c r="G582" s="45">
        <f>G583</f>
        <v>26098.6</v>
      </c>
      <c r="H582" s="45">
        <f t="shared" si="147"/>
        <v>25864.7</v>
      </c>
      <c r="I582" s="45">
        <f t="shared" si="147"/>
        <v>25710.699999999997</v>
      </c>
    </row>
    <row r="583" spans="1:11" ht="25.5" x14ac:dyDescent="0.25">
      <c r="A583" s="131"/>
      <c r="B583" s="131"/>
      <c r="C583" s="131" t="s">
        <v>65</v>
      </c>
      <c r="D583" s="130"/>
      <c r="E583" s="132" t="s">
        <v>66</v>
      </c>
      <c r="F583" s="22"/>
      <c r="G583" s="147">
        <f>G584+G588+G596</f>
        <v>26098.6</v>
      </c>
      <c r="H583" s="147">
        <f t="shared" ref="H583:I583" si="148">H584+H588+H596</f>
        <v>25864.7</v>
      </c>
      <c r="I583" s="147">
        <f t="shared" si="148"/>
        <v>25710.699999999997</v>
      </c>
    </row>
    <row r="584" spans="1:11" x14ac:dyDescent="0.25">
      <c r="A584" s="49"/>
      <c r="B584" s="49"/>
      <c r="C584" s="49" t="s">
        <v>67</v>
      </c>
      <c r="D584" s="49"/>
      <c r="E584" s="50" t="s">
        <v>68</v>
      </c>
      <c r="F584" s="51"/>
      <c r="G584" s="51">
        <f>G585</f>
        <v>218.1</v>
      </c>
      <c r="H584" s="51">
        <f t="shared" ref="H584:I585" si="149">H585</f>
        <v>226.9</v>
      </c>
      <c r="I584" s="51">
        <f t="shared" si="149"/>
        <v>235.9</v>
      </c>
    </row>
    <row r="585" spans="1:11" ht="39" x14ac:dyDescent="0.25">
      <c r="A585" s="52"/>
      <c r="B585" s="52"/>
      <c r="C585" s="52" t="s">
        <v>69</v>
      </c>
      <c r="D585" s="52"/>
      <c r="E585" s="53" t="s">
        <v>70</v>
      </c>
      <c r="F585" s="25"/>
      <c r="G585" s="25">
        <f>G586</f>
        <v>218.1</v>
      </c>
      <c r="H585" s="25">
        <f t="shared" si="149"/>
        <v>226.9</v>
      </c>
      <c r="I585" s="25">
        <f t="shared" si="149"/>
        <v>235.9</v>
      </c>
    </row>
    <row r="586" spans="1:11" ht="26.25" x14ac:dyDescent="0.25">
      <c r="A586" s="111"/>
      <c r="B586" s="111"/>
      <c r="C586" s="26" t="s">
        <v>79</v>
      </c>
      <c r="D586" s="11"/>
      <c r="E586" s="5" t="s">
        <v>80</v>
      </c>
      <c r="F586" s="22" t="e">
        <f>#REF!</f>
        <v>#REF!</v>
      </c>
      <c r="G586" s="22">
        <v>218.1</v>
      </c>
      <c r="H586" s="22">
        <v>226.9</v>
      </c>
      <c r="I586" s="22">
        <v>235.9</v>
      </c>
    </row>
    <row r="587" spans="1:11" ht="26.25" x14ac:dyDescent="0.25">
      <c r="A587" s="111"/>
      <c r="B587" s="111"/>
      <c r="C587" s="26"/>
      <c r="D587" s="1" t="s">
        <v>658</v>
      </c>
      <c r="E587" s="2" t="s">
        <v>659</v>
      </c>
      <c r="F587" s="22"/>
      <c r="G587" s="22">
        <v>218.1</v>
      </c>
      <c r="H587" s="22">
        <v>226.9</v>
      </c>
      <c r="I587" s="22">
        <v>235.9</v>
      </c>
    </row>
    <row r="588" spans="1:11" x14ac:dyDescent="0.25">
      <c r="A588" s="49"/>
      <c r="B588" s="49"/>
      <c r="C588" s="49" t="s">
        <v>85</v>
      </c>
      <c r="D588" s="49"/>
      <c r="E588" s="50" t="s">
        <v>86</v>
      </c>
      <c r="F588" s="51" t="e">
        <f>F596+F605+F491</f>
        <v>#REF!</v>
      </c>
      <c r="G588" s="51">
        <f>G589</f>
        <v>13874.599999999999</v>
      </c>
      <c r="H588" s="51">
        <f t="shared" ref="H588:I588" si="150">H589</f>
        <v>13887.2</v>
      </c>
      <c r="I588" s="51">
        <f t="shared" si="150"/>
        <v>13800.3</v>
      </c>
    </row>
    <row r="589" spans="1:11" ht="39" x14ac:dyDescent="0.25">
      <c r="A589" s="52"/>
      <c r="B589" s="52"/>
      <c r="C589" s="52" t="s">
        <v>97</v>
      </c>
      <c r="D589" s="52"/>
      <c r="E589" s="53" t="s">
        <v>98</v>
      </c>
      <c r="F589" s="25"/>
      <c r="G589" s="25">
        <f>G590+G592+G594</f>
        <v>13874.599999999999</v>
      </c>
      <c r="H589" s="25">
        <f t="shared" ref="H589:I589" si="151">H590+H592+H594</f>
        <v>13887.2</v>
      </c>
      <c r="I589" s="25">
        <f t="shared" si="151"/>
        <v>13800.3</v>
      </c>
    </row>
    <row r="590" spans="1:11" ht="25.5" x14ac:dyDescent="0.25">
      <c r="A590" s="111"/>
      <c r="B590" s="111"/>
      <c r="C590" s="61" t="s">
        <v>106</v>
      </c>
      <c r="D590" s="11"/>
      <c r="E590" s="3" t="s">
        <v>107</v>
      </c>
      <c r="F590" s="22" t="e">
        <f>SUM(#REF!)</f>
        <v>#REF!</v>
      </c>
      <c r="G590" s="22">
        <v>5176.8</v>
      </c>
      <c r="H590" s="22">
        <v>5159.6000000000004</v>
      </c>
      <c r="I590" s="22">
        <v>5193.8999999999996</v>
      </c>
    </row>
    <row r="591" spans="1:11" ht="26.25" x14ac:dyDescent="0.25">
      <c r="A591" s="111"/>
      <c r="B591" s="111"/>
      <c r="C591" s="61"/>
      <c r="D591" s="1" t="s">
        <v>658</v>
      </c>
      <c r="E591" s="2" t="s">
        <v>659</v>
      </c>
      <c r="F591" s="22"/>
      <c r="G591" s="22">
        <v>5176.8</v>
      </c>
      <c r="H591" s="22">
        <v>5159.6000000000004</v>
      </c>
      <c r="I591" s="22">
        <v>5193.8999999999996</v>
      </c>
    </row>
    <row r="592" spans="1:11" ht="26.25" x14ac:dyDescent="0.25">
      <c r="A592" s="111"/>
      <c r="B592" s="111"/>
      <c r="C592" s="61" t="s">
        <v>108</v>
      </c>
      <c r="D592" s="11"/>
      <c r="E592" s="5" t="s">
        <v>109</v>
      </c>
      <c r="F592" s="22" t="e">
        <f>#REF!</f>
        <v>#REF!</v>
      </c>
      <c r="G592" s="22">
        <v>6668</v>
      </c>
      <c r="H592" s="22">
        <v>6616.6</v>
      </c>
      <c r="I592" s="22">
        <v>6410.9</v>
      </c>
      <c r="K592" s="63">
        <f>G530+H530+I530</f>
        <v>93112.7</v>
      </c>
    </row>
    <row r="593" spans="1:18" ht="26.25" x14ac:dyDescent="0.25">
      <c r="A593" s="111"/>
      <c r="B593" s="111"/>
      <c r="C593" s="61"/>
      <c r="D593" s="1" t="s">
        <v>658</v>
      </c>
      <c r="E593" s="2" t="s">
        <v>659</v>
      </c>
      <c r="F593" s="22"/>
      <c r="G593" s="22">
        <v>6668</v>
      </c>
      <c r="H593" s="22">
        <v>6616.6</v>
      </c>
      <c r="I593" s="22">
        <v>6410.9</v>
      </c>
    </row>
    <row r="594" spans="1:18" ht="26.25" x14ac:dyDescent="0.25">
      <c r="A594" s="111"/>
      <c r="B594" s="111"/>
      <c r="C594" s="11" t="s">
        <v>101</v>
      </c>
      <c r="D594" s="11"/>
      <c r="E594" s="5" t="s">
        <v>80</v>
      </c>
      <c r="F594" s="22" t="e">
        <f>#REF!</f>
        <v>#REF!</v>
      </c>
      <c r="G594" s="22">
        <v>2029.8</v>
      </c>
      <c r="H594" s="22">
        <v>2111</v>
      </c>
      <c r="I594" s="22">
        <v>2195.5</v>
      </c>
    </row>
    <row r="595" spans="1:18" ht="26.25" x14ac:dyDescent="0.25">
      <c r="A595" s="111"/>
      <c r="B595" s="111"/>
      <c r="C595" s="11"/>
      <c r="D595" s="1" t="s">
        <v>658</v>
      </c>
      <c r="E595" s="2" t="s">
        <v>659</v>
      </c>
      <c r="F595" s="22"/>
      <c r="G595" s="22">
        <v>2029.8</v>
      </c>
      <c r="H595" s="22">
        <v>2111</v>
      </c>
      <c r="I595" s="22">
        <v>2195.5</v>
      </c>
    </row>
    <row r="596" spans="1:18" x14ac:dyDescent="0.25">
      <c r="A596" s="49"/>
      <c r="B596" s="49"/>
      <c r="C596" s="49" t="s">
        <v>149</v>
      </c>
      <c r="D596" s="49"/>
      <c r="E596" s="50" t="s">
        <v>150</v>
      </c>
      <c r="F596" s="51" t="e">
        <f>F782+#REF!</f>
        <v>#REF!</v>
      </c>
      <c r="G596" s="51">
        <f>G597</f>
        <v>12005.9</v>
      </c>
      <c r="H596" s="51">
        <f t="shared" ref="H596:I596" si="152">H597</f>
        <v>11750.6</v>
      </c>
      <c r="I596" s="51">
        <f t="shared" si="152"/>
        <v>11674.5</v>
      </c>
    </row>
    <row r="597" spans="1:18" ht="26.25" x14ac:dyDescent="0.25">
      <c r="A597" s="52"/>
      <c r="B597" s="52"/>
      <c r="C597" s="52" t="s">
        <v>157</v>
      </c>
      <c r="D597" s="52"/>
      <c r="E597" s="53" t="s">
        <v>158</v>
      </c>
      <c r="F597" s="25" t="e">
        <f t="shared" ref="F597" si="153">F598+F601+F604</f>
        <v>#REF!</v>
      </c>
      <c r="G597" s="25">
        <f>G598+G601+G604</f>
        <v>12005.9</v>
      </c>
      <c r="H597" s="25">
        <f t="shared" ref="H597:I597" si="154">H598+H601+H604</f>
        <v>11750.6</v>
      </c>
      <c r="I597" s="25">
        <f t="shared" si="154"/>
        <v>11674.5</v>
      </c>
    </row>
    <row r="598" spans="1:18" ht="26.25" x14ac:dyDescent="0.25">
      <c r="A598" s="111"/>
      <c r="B598" s="111"/>
      <c r="C598" s="11" t="s">
        <v>159</v>
      </c>
      <c r="D598" s="11"/>
      <c r="E598" s="5" t="s">
        <v>160</v>
      </c>
      <c r="F598" s="22" t="e">
        <f>#REF!</f>
        <v>#REF!</v>
      </c>
      <c r="G598" s="22">
        <f>SUM(G599+G600)</f>
        <v>596.79999999999995</v>
      </c>
      <c r="H598" s="22">
        <f t="shared" ref="H598:I598" si="155">SUM(H599+H600)</f>
        <v>469.9</v>
      </c>
      <c r="I598" s="22">
        <f t="shared" si="155"/>
        <v>393.8</v>
      </c>
    </row>
    <row r="599" spans="1:18" x14ac:dyDescent="0.25">
      <c r="A599" s="111"/>
      <c r="B599" s="111"/>
      <c r="C599" s="11"/>
      <c r="D599" s="1" t="s">
        <v>564</v>
      </c>
      <c r="E599" s="2" t="s">
        <v>565</v>
      </c>
      <c r="F599" s="22"/>
      <c r="G599" s="22">
        <v>596.79999999999995</v>
      </c>
      <c r="H599" s="22">
        <v>469.9</v>
      </c>
      <c r="I599" s="22">
        <v>393.8</v>
      </c>
    </row>
    <row r="600" spans="1:18" ht="26.25" x14ac:dyDescent="0.25">
      <c r="A600" s="111"/>
      <c r="B600" s="111"/>
      <c r="C600" s="11"/>
      <c r="D600" s="6" t="s">
        <v>658</v>
      </c>
      <c r="E600" s="7" t="s">
        <v>659</v>
      </c>
      <c r="F600" s="22"/>
      <c r="G600" s="22">
        <v>0</v>
      </c>
      <c r="H600" s="22">
        <v>0</v>
      </c>
      <c r="I600" s="22">
        <v>0</v>
      </c>
    </row>
    <row r="601" spans="1:18" ht="51.75" x14ac:dyDescent="0.25">
      <c r="A601" s="111"/>
      <c r="B601" s="111"/>
      <c r="C601" s="11" t="s">
        <v>161</v>
      </c>
      <c r="D601" s="11"/>
      <c r="E601" s="5" t="s">
        <v>162</v>
      </c>
      <c r="F601" s="22" t="e">
        <f>#REF!+#REF!</f>
        <v>#REF!</v>
      </c>
      <c r="G601" s="22">
        <f>G602+G603</f>
        <v>11250</v>
      </c>
      <c r="H601" s="22">
        <f>H602+H603</f>
        <v>11280.7</v>
      </c>
      <c r="I601" s="22">
        <f>I602+I603</f>
        <v>11280.7</v>
      </c>
    </row>
    <row r="602" spans="1:18" x14ac:dyDescent="0.25">
      <c r="A602" s="111"/>
      <c r="B602" s="111"/>
      <c r="C602" s="11"/>
      <c r="D602" s="1" t="s">
        <v>564</v>
      </c>
      <c r="E602" s="2" t="s">
        <v>565</v>
      </c>
      <c r="F602" s="22"/>
      <c r="G602" s="22">
        <v>5118.6880000000001</v>
      </c>
      <c r="H602" s="22">
        <v>4819.2</v>
      </c>
      <c r="I602" s="22">
        <v>4819.2</v>
      </c>
    </row>
    <row r="603" spans="1:18" ht="26.25" x14ac:dyDescent="0.25">
      <c r="A603" s="111"/>
      <c r="B603" s="111"/>
      <c r="C603" s="11"/>
      <c r="D603" s="1" t="s">
        <v>658</v>
      </c>
      <c r="E603" s="2" t="s">
        <v>659</v>
      </c>
      <c r="F603" s="22"/>
      <c r="G603" s="22">
        <v>6131.3119999999999</v>
      </c>
      <c r="H603" s="22">
        <v>6461.5</v>
      </c>
      <c r="I603" s="22">
        <v>6461.5</v>
      </c>
      <c r="O603" s="40" t="s">
        <v>179</v>
      </c>
      <c r="P603" s="40" t="s">
        <v>180</v>
      </c>
      <c r="Q603" s="40" t="s">
        <v>181</v>
      </c>
      <c r="R603" s="40" t="s">
        <v>182</v>
      </c>
    </row>
    <row r="604" spans="1:18" ht="26.25" x14ac:dyDescent="0.25">
      <c r="A604" s="111"/>
      <c r="B604" s="111"/>
      <c r="C604" s="11" t="s">
        <v>163</v>
      </c>
      <c r="D604" s="11"/>
      <c r="E604" s="5" t="s">
        <v>164</v>
      </c>
      <c r="F604" s="22" t="e">
        <f>#REF!</f>
        <v>#REF!</v>
      </c>
      <c r="G604" s="22">
        <f>G606+G607</f>
        <v>159.1</v>
      </c>
      <c r="H604" s="22">
        <f t="shared" ref="H604:I604" si="156">H606+H607</f>
        <v>0</v>
      </c>
      <c r="I604" s="22">
        <f t="shared" si="156"/>
        <v>0</v>
      </c>
    </row>
    <row r="605" spans="1:18" ht="26.25" x14ac:dyDescent="0.25">
      <c r="A605" s="111"/>
      <c r="B605" s="111"/>
      <c r="C605" s="11"/>
      <c r="D605" s="1" t="s">
        <v>344</v>
      </c>
      <c r="E605" s="2" t="s">
        <v>345</v>
      </c>
      <c r="F605" s="22"/>
      <c r="G605" s="22">
        <f>G606+G607</f>
        <v>159.1</v>
      </c>
      <c r="H605" s="22">
        <v>0</v>
      </c>
      <c r="I605" s="22">
        <v>0</v>
      </c>
      <c r="O605" s="40">
        <v>35201.9</v>
      </c>
    </row>
    <row r="606" spans="1:18" x14ac:dyDescent="0.25">
      <c r="A606" s="111"/>
      <c r="B606" s="111"/>
      <c r="C606" s="11"/>
      <c r="D606" s="11"/>
      <c r="E606" s="5" t="s">
        <v>95</v>
      </c>
      <c r="F606" s="22">
        <v>130.6</v>
      </c>
      <c r="G606" s="22">
        <v>106</v>
      </c>
      <c r="H606" s="22">
        <v>0</v>
      </c>
      <c r="I606" s="22">
        <v>0</v>
      </c>
    </row>
    <row r="607" spans="1:18" x14ac:dyDescent="0.25">
      <c r="A607" s="111"/>
      <c r="B607" s="111"/>
      <c r="C607" s="11"/>
      <c r="D607" s="11"/>
      <c r="E607" s="5" t="s">
        <v>96</v>
      </c>
      <c r="F607" s="22">
        <v>65.3</v>
      </c>
      <c r="G607" s="22">
        <v>53.1</v>
      </c>
      <c r="H607" s="22">
        <v>0</v>
      </c>
      <c r="I607" s="22">
        <v>0</v>
      </c>
      <c r="J607" s="59"/>
      <c r="K607" s="59"/>
      <c r="L607" s="59"/>
      <c r="M607" s="59"/>
      <c r="N607" s="59"/>
      <c r="O607" s="59"/>
    </row>
    <row r="608" spans="1:18" x14ac:dyDescent="0.25">
      <c r="A608" s="115"/>
      <c r="B608" s="27">
        <v>1004</v>
      </c>
      <c r="C608" s="116"/>
      <c r="D608" s="115"/>
      <c r="E608" s="117" t="s">
        <v>728</v>
      </c>
      <c r="F608" s="22"/>
      <c r="G608" s="45">
        <f>G609</f>
        <v>5119.8999999999996</v>
      </c>
      <c r="H608" s="45">
        <f t="shared" ref="H608:I612" si="157">H609</f>
        <v>3734.7</v>
      </c>
      <c r="I608" s="45">
        <f t="shared" si="157"/>
        <v>3734.7</v>
      </c>
      <c r="J608" s="59"/>
      <c r="K608" s="59"/>
      <c r="L608" s="59"/>
      <c r="M608" s="59"/>
      <c r="N608" s="59"/>
      <c r="O608" s="59"/>
    </row>
    <row r="609" spans="1:15" x14ac:dyDescent="0.25">
      <c r="A609" s="115"/>
      <c r="B609" s="27"/>
      <c r="C609" s="116" t="s">
        <v>6</v>
      </c>
      <c r="D609" s="27"/>
      <c r="E609" s="12" t="s">
        <v>693</v>
      </c>
      <c r="F609" s="22"/>
      <c r="G609" s="45">
        <f>G610</f>
        <v>5119.8999999999996</v>
      </c>
      <c r="H609" s="45">
        <f t="shared" si="157"/>
        <v>3734.7</v>
      </c>
      <c r="I609" s="45">
        <f t="shared" si="157"/>
        <v>3734.7</v>
      </c>
      <c r="J609" s="59"/>
      <c r="K609" s="59"/>
      <c r="L609" s="59"/>
      <c r="M609" s="59"/>
      <c r="N609" s="59"/>
      <c r="O609" s="59"/>
    </row>
    <row r="610" spans="1:15" ht="25.5" x14ac:dyDescent="0.25">
      <c r="A610" s="129"/>
      <c r="B610" s="130"/>
      <c r="C610" s="131" t="s">
        <v>65</v>
      </c>
      <c r="D610" s="130"/>
      <c r="E610" s="132" t="s">
        <v>66</v>
      </c>
      <c r="F610" s="22"/>
      <c r="G610" s="147">
        <f>G611</f>
        <v>5119.8999999999996</v>
      </c>
      <c r="H610" s="147">
        <f t="shared" si="157"/>
        <v>3734.7</v>
      </c>
      <c r="I610" s="147">
        <f t="shared" si="157"/>
        <v>3734.7</v>
      </c>
      <c r="J610" s="59"/>
      <c r="K610" s="59"/>
      <c r="L610" s="59"/>
      <c r="M610" s="59"/>
      <c r="N610" s="59"/>
      <c r="O610" s="59"/>
    </row>
    <row r="611" spans="1:15" x14ac:dyDescent="0.25">
      <c r="A611" s="133"/>
      <c r="B611" s="134"/>
      <c r="C611" s="135" t="s">
        <v>67</v>
      </c>
      <c r="D611" s="134"/>
      <c r="E611" s="136" t="s">
        <v>68</v>
      </c>
      <c r="F611" s="22"/>
      <c r="G611" s="148">
        <f>G612</f>
        <v>5119.8999999999996</v>
      </c>
      <c r="H611" s="148">
        <f t="shared" si="157"/>
        <v>3734.7</v>
      </c>
      <c r="I611" s="148">
        <f t="shared" si="157"/>
        <v>3734.7</v>
      </c>
      <c r="J611" s="59"/>
      <c r="K611" s="59"/>
      <c r="L611" s="59"/>
      <c r="M611" s="59"/>
      <c r="N611" s="59"/>
      <c r="O611" s="59"/>
    </row>
    <row r="612" spans="1:15" ht="39" x14ac:dyDescent="0.25">
      <c r="A612" s="52"/>
      <c r="B612" s="52"/>
      <c r="C612" s="52" t="s">
        <v>69</v>
      </c>
      <c r="D612" s="52"/>
      <c r="E612" s="53" t="s">
        <v>88</v>
      </c>
      <c r="F612" s="25"/>
      <c r="G612" s="25">
        <f>G613</f>
        <v>5119.8999999999996</v>
      </c>
      <c r="H612" s="25">
        <f t="shared" si="157"/>
        <v>3734.7</v>
      </c>
      <c r="I612" s="25">
        <f t="shared" si="157"/>
        <v>3734.7</v>
      </c>
      <c r="J612" s="59"/>
      <c r="K612" s="59"/>
      <c r="L612" s="59"/>
      <c r="M612" s="59"/>
      <c r="N612" s="59"/>
      <c r="O612" s="59"/>
    </row>
    <row r="613" spans="1:15" ht="39" x14ac:dyDescent="0.25">
      <c r="A613" s="111"/>
      <c r="B613" s="111"/>
      <c r="C613" s="11" t="s">
        <v>75</v>
      </c>
      <c r="D613" s="11"/>
      <c r="E613" s="5" t="s">
        <v>76</v>
      </c>
      <c r="F613" s="22" t="e">
        <f>#REF!</f>
        <v>#REF!</v>
      </c>
      <c r="G613" s="22">
        <v>5119.8999999999996</v>
      </c>
      <c r="H613" s="22">
        <v>3734.7</v>
      </c>
      <c r="I613" s="22">
        <v>3734.7</v>
      </c>
    </row>
    <row r="614" spans="1:15" ht="26.25" x14ac:dyDescent="0.25">
      <c r="A614" s="111"/>
      <c r="B614" s="111"/>
      <c r="C614" s="11"/>
      <c r="D614" s="1" t="s">
        <v>658</v>
      </c>
      <c r="E614" s="2" t="s">
        <v>659</v>
      </c>
      <c r="F614" s="22"/>
      <c r="G614" s="22">
        <v>5119.8999999999996</v>
      </c>
      <c r="H614" s="22">
        <v>3734.7</v>
      </c>
      <c r="I614" s="22">
        <v>3734.7</v>
      </c>
    </row>
    <row r="615" spans="1:15" x14ac:dyDescent="0.25">
      <c r="A615" s="110"/>
      <c r="B615" s="27">
        <v>1100</v>
      </c>
      <c r="C615" s="116"/>
      <c r="D615" s="115"/>
      <c r="E615" s="117" t="s">
        <v>741</v>
      </c>
      <c r="F615" s="22"/>
      <c r="G615" s="449">
        <f>G616</f>
        <v>5368.9120000000003</v>
      </c>
      <c r="H615" s="45">
        <f t="shared" ref="H615:I617" si="158">H616</f>
        <v>3526.8</v>
      </c>
      <c r="I615" s="45">
        <f t="shared" si="158"/>
        <v>6694.8</v>
      </c>
    </row>
    <row r="616" spans="1:15" x14ac:dyDescent="0.25">
      <c r="A616" s="110"/>
      <c r="B616" s="27" t="s">
        <v>742</v>
      </c>
      <c r="C616" s="116"/>
      <c r="D616" s="27"/>
      <c r="E616" s="122" t="s">
        <v>743</v>
      </c>
      <c r="F616" s="22"/>
      <c r="G616" s="449">
        <f>G617</f>
        <v>5368.9120000000003</v>
      </c>
      <c r="H616" s="45">
        <f t="shared" si="158"/>
        <v>3526.8</v>
      </c>
      <c r="I616" s="45">
        <f t="shared" si="158"/>
        <v>6694.8</v>
      </c>
    </row>
    <row r="617" spans="1:15" ht="25.5" x14ac:dyDescent="0.25">
      <c r="A617" s="110"/>
      <c r="B617" s="27"/>
      <c r="C617" s="116" t="s">
        <v>6</v>
      </c>
      <c r="D617" s="27"/>
      <c r="E617" s="122" t="s">
        <v>7</v>
      </c>
      <c r="F617" s="22"/>
      <c r="G617" s="449">
        <f>G618</f>
        <v>5368.9120000000003</v>
      </c>
      <c r="H617" s="45">
        <f t="shared" si="158"/>
        <v>3526.8</v>
      </c>
      <c r="I617" s="45">
        <f t="shared" si="158"/>
        <v>6694.8</v>
      </c>
    </row>
    <row r="618" spans="1:15" ht="25.5" x14ac:dyDescent="0.25">
      <c r="A618" s="129"/>
      <c r="B618" s="130"/>
      <c r="C618" s="131" t="s">
        <v>314</v>
      </c>
      <c r="D618" s="130"/>
      <c r="E618" s="132" t="s">
        <v>315</v>
      </c>
      <c r="F618" s="22"/>
      <c r="G618" s="450">
        <f>G619+G631+G626</f>
        <v>5368.9120000000003</v>
      </c>
      <c r="H618" s="147">
        <f>H619+H631+H626</f>
        <v>3526.8</v>
      </c>
      <c r="I618" s="147">
        <f>I619+I631+I626</f>
        <v>6694.8</v>
      </c>
    </row>
    <row r="619" spans="1:15" ht="39" x14ac:dyDescent="0.25">
      <c r="A619" s="52"/>
      <c r="B619" s="52"/>
      <c r="C619" s="52" t="s">
        <v>316</v>
      </c>
      <c r="D619" s="52"/>
      <c r="E619" s="53" t="s">
        <v>317</v>
      </c>
      <c r="F619" s="25" t="e">
        <f t="shared" ref="F619:I619" si="159">F620</f>
        <v>#REF!</v>
      </c>
      <c r="G619" s="442">
        <f>G620+G622</f>
        <v>1868.912</v>
      </c>
      <c r="H619" s="25">
        <f t="shared" si="159"/>
        <v>1694.8</v>
      </c>
      <c r="I619" s="25">
        <f t="shared" si="159"/>
        <v>1694.8</v>
      </c>
    </row>
    <row r="620" spans="1:15" ht="53.25" customHeight="1" x14ac:dyDescent="0.25">
      <c r="A620" s="111"/>
      <c r="B620" s="111"/>
      <c r="C620" s="11" t="s">
        <v>318</v>
      </c>
      <c r="D620" s="11"/>
      <c r="E620" s="5" t="s">
        <v>319</v>
      </c>
      <c r="F620" s="22" t="e">
        <f>#REF!</f>
        <v>#REF!</v>
      </c>
      <c r="G620" s="22">
        <f>G621</f>
        <v>1768</v>
      </c>
      <c r="H620" s="22">
        <f t="shared" ref="H620:I621" si="160">1760.8-66</f>
        <v>1694.8</v>
      </c>
      <c r="I620" s="22">
        <f t="shared" si="160"/>
        <v>1694.8</v>
      </c>
    </row>
    <row r="621" spans="1:15" ht="26.25" x14ac:dyDescent="0.25">
      <c r="A621" s="111"/>
      <c r="B621" s="111"/>
      <c r="C621" s="11"/>
      <c r="D621" s="1" t="s">
        <v>658</v>
      </c>
      <c r="E621" s="2" t="s">
        <v>659</v>
      </c>
      <c r="F621" s="22"/>
      <c r="G621" s="22">
        <f>1760.8-66+73.2</f>
        <v>1768</v>
      </c>
      <c r="H621" s="22">
        <f t="shared" si="160"/>
        <v>1694.8</v>
      </c>
      <c r="I621" s="22">
        <f t="shared" si="160"/>
        <v>1694.8</v>
      </c>
    </row>
    <row r="622" spans="1:15" x14ac:dyDescent="0.25">
      <c r="A622" s="111"/>
      <c r="B622" s="111"/>
      <c r="C622" s="11" t="s">
        <v>1398</v>
      </c>
      <c r="D622" s="11"/>
      <c r="E622" s="5" t="s">
        <v>1399</v>
      </c>
      <c r="F622" s="22"/>
      <c r="G622" s="439">
        <f>G623</f>
        <v>100.91200000000001</v>
      </c>
      <c r="H622" s="22">
        <v>0</v>
      </c>
      <c r="I622" s="22">
        <v>0</v>
      </c>
    </row>
    <row r="623" spans="1:15" ht="26.25" x14ac:dyDescent="0.25">
      <c r="A623" s="111"/>
      <c r="B623" s="111"/>
      <c r="C623" s="11"/>
      <c r="D623" s="11" t="s">
        <v>658</v>
      </c>
      <c r="E623" s="5" t="s">
        <v>659</v>
      </c>
      <c r="F623" s="22"/>
      <c r="G623" s="439">
        <f>G624</f>
        <v>100.91200000000001</v>
      </c>
      <c r="H623" s="22">
        <v>0</v>
      </c>
      <c r="I623" s="22">
        <v>0</v>
      </c>
    </row>
    <row r="624" spans="1:15" x14ac:dyDescent="0.25">
      <c r="A624" s="111"/>
      <c r="B624" s="111"/>
      <c r="C624" s="11"/>
      <c r="D624" s="11"/>
      <c r="E624" s="3" t="s">
        <v>224</v>
      </c>
      <c r="F624" s="22"/>
      <c r="G624" s="439">
        <f>G625</f>
        <v>100.91200000000001</v>
      </c>
      <c r="H624" s="22">
        <v>0</v>
      </c>
      <c r="I624" s="22">
        <v>0</v>
      </c>
    </row>
    <row r="625" spans="1:9" x14ac:dyDescent="0.25">
      <c r="A625" s="111"/>
      <c r="B625" s="111"/>
      <c r="C625" s="11"/>
      <c r="D625" s="11"/>
      <c r="E625" s="3" t="s">
        <v>172</v>
      </c>
      <c r="F625" s="22"/>
      <c r="G625" s="439">
        <v>100.91200000000001</v>
      </c>
      <c r="H625" s="22">
        <v>0</v>
      </c>
      <c r="I625" s="22">
        <v>0</v>
      </c>
    </row>
    <row r="626" spans="1:9" ht="39" x14ac:dyDescent="0.25">
      <c r="A626" s="52"/>
      <c r="B626" s="52"/>
      <c r="C626" s="52" t="s">
        <v>320</v>
      </c>
      <c r="D626" s="52"/>
      <c r="E626" s="53" t="s">
        <v>321</v>
      </c>
      <c r="F626" s="25" t="e">
        <f>F627+#REF!+F632+F636+#REF!</f>
        <v>#REF!</v>
      </c>
      <c r="G626" s="25">
        <f>G627</f>
        <v>3500</v>
      </c>
      <c r="H626" s="25">
        <f t="shared" ref="H626:I627" si="161">H627</f>
        <v>1000</v>
      </c>
      <c r="I626" s="25">
        <f t="shared" si="161"/>
        <v>0</v>
      </c>
    </row>
    <row r="627" spans="1:9" ht="39" x14ac:dyDescent="0.25">
      <c r="A627" s="111"/>
      <c r="B627" s="111"/>
      <c r="C627" s="11" t="s">
        <v>322</v>
      </c>
      <c r="D627" s="11"/>
      <c r="E627" s="5" t="s">
        <v>323</v>
      </c>
      <c r="F627" s="22" t="e">
        <f>#REF!</f>
        <v>#REF!</v>
      </c>
      <c r="G627" s="22">
        <f>G628</f>
        <v>3500</v>
      </c>
      <c r="H627" s="22">
        <f t="shared" si="161"/>
        <v>1000</v>
      </c>
      <c r="I627" s="22">
        <f t="shared" si="161"/>
        <v>0</v>
      </c>
    </row>
    <row r="628" spans="1:9" ht="26.25" x14ac:dyDescent="0.25">
      <c r="A628" s="111"/>
      <c r="B628" s="111"/>
      <c r="C628" s="11"/>
      <c r="D628" s="1" t="s">
        <v>658</v>
      </c>
      <c r="E628" s="2" t="s">
        <v>659</v>
      </c>
      <c r="F628" s="22"/>
      <c r="G628" s="22">
        <f>G629+G630</f>
        <v>3500</v>
      </c>
      <c r="H628" s="22">
        <f>H629+H630</f>
        <v>1000</v>
      </c>
      <c r="I628" s="22">
        <v>0</v>
      </c>
    </row>
    <row r="629" spans="1:9" x14ac:dyDescent="0.25">
      <c r="A629" s="111"/>
      <c r="B629" s="111"/>
      <c r="C629" s="11"/>
      <c r="D629" s="11"/>
      <c r="E629" s="5" t="s">
        <v>188</v>
      </c>
      <c r="F629" s="72"/>
      <c r="G629" s="22">
        <v>2625</v>
      </c>
      <c r="H629" s="22">
        <v>0</v>
      </c>
      <c r="I629" s="72">
        <v>0</v>
      </c>
    </row>
    <row r="630" spans="1:9" x14ac:dyDescent="0.25">
      <c r="A630" s="111"/>
      <c r="B630" s="111"/>
      <c r="C630" s="11"/>
      <c r="D630" s="11"/>
      <c r="E630" s="5" t="s">
        <v>121</v>
      </c>
      <c r="F630" s="22">
        <v>118.2</v>
      </c>
      <c r="G630" s="22">
        <f>900-25</f>
        <v>875</v>
      </c>
      <c r="H630" s="22">
        <v>1000</v>
      </c>
      <c r="I630" s="22">
        <v>0</v>
      </c>
    </row>
    <row r="631" spans="1:9" ht="26.25" x14ac:dyDescent="0.25">
      <c r="A631" s="52"/>
      <c r="B631" s="52"/>
      <c r="C631" s="52" t="s">
        <v>607</v>
      </c>
      <c r="D631" s="52"/>
      <c r="E631" s="53" t="s">
        <v>608</v>
      </c>
      <c r="F631" s="25"/>
      <c r="G631" s="25">
        <f>G632</f>
        <v>0</v>
      </c>
      <c r="H631" s="25">
        <f>H636+H632</f>
        <v>832</v>
      </c>
      <c r="I631" s="25">
        <f>I636+I632</f>
        <v>5000</v>
      </c>
    </row>
    <row r="632" spans="1:9" ht="26.25" x14ac:dyDescent="0.25">
      <c r="A632" s="111"/>
      <c r="B632" s="111"/>
      <c r="C632" s="11" t="s">
        <v>613</v>
      </c>
      <c r="D632" s="11"/>
      <c r="E632" s="5" t="s">
        <v>324</v>
      </c>
      <c r="F632" s="22" t="e">
        <f>#REF!</f>
        <v>#REF!</v>
      </c>
      <c r="G632" s="22">
        <v>0</v>
      </c>
      <c r="H632" s="22">
        <v>0</v>
      </c>
      <c r="I632" s="22">
        <v>5000</v>
      </c>
    </row>
    <row r="633" spans="1:9" ht="26.25" x14ac:dyDescent="0.25">
      <c r="A633" s="111"/>
      <c r="B633" s="111"/>
      <c r="C633" s="11"/>
      <c r="D633" s="1" t="s">
        <v>658</v>
      </c>
      <c r="E633" s="2" t="s">
        <v>659</v>
      </c>
      <c r="F633" s="22"/>
      <c r="G633" s="22">
        <v>0</v>
      </c>
      <c r="H633" s="22">
        <v>0</v>
      </c>
      <c r="I633" s="22">
        <v>5000</v>
      </c>
    </row>
    <row r="634" spans="1:9" x14ac:dyDescent="0.25">
      <c r="A634" s="111"/>
      <c r="B634" s="111"/>
      <c r="C634" s="11"/>
      <c r="D634" s="11"/>
      <c r="E634" s="5" t="s">
        <v>188</v>
      </c>
      <c r="F634" s="72"/>
      <c r="G634" s="72">
        <v>0</v>
      </c>
      <c r="H634" s="72">
        <v>0</v>
      </c>
      <c r="I634" s="72">
        <v>0</v>
      </c>
    </row>
    <row r="635" spans="1:9" x14ac:dyDescent="0.25">
      <c r="A635" s="111"/>
      <c r="B635" s="111"/>
      <c r="C635" s="11"/>
      <c r="D635" s="11"/>
      <c r="E635" s="5" t="s">
        <v>121</v>
      </c>
      <c r="F635" s="22">
        <v>118.2</v>
      </c>
      <c r="G635" s="22">
        <v>0</v>
      </c>
      <c r="H635" s="22">
        <v>0</v>
      </c>
      <c r="I635" s="22">
        <v>5000</v>
      </c>
    </row>
    <row r="636" spans="1:9" ht="26.25" x14ac:dyDescent="0.25">
      <c r="A636" s="111"/>
      <c r="B636" s="111"/>
      <c r="C636" s="11" t="s">
        <v>614</v>
      </c>
      <c r="D636" s="11"/>
      <c r="E636" s="5" t="s">
        <v>325</v>
      </c>
      <c r="F636" s="22" t="e">
        <f>#REF!</f>
        <v>#REF!</v>
      </c>
      <c r="G636" s="22">
        <v>0</v>
      </c>
      <c r="H636" s="22">
        <v>832</v>
      </c>
      <c r="I636" s="22">
        <v>0</v>
      </c>
    </row>
    <row r="637" spans="1:9" ht="26.25" x14ac:dyDescent="0.25">
      <c r="A637" s="111"/>
      <c r="B637" s="111"/>
      <c r="C637" s="11"/>
      <c r="D637" s="1" t="s">
        <v>658</v>
      </c>
      <c r="E637" s="2" t="s">
        <v>659</v>
      </c>
      <c r="F637" s="22"/>
      <c r="G637" s="22">
        <v>0</v>
      </c>
      <c r="H637" s="22">
        <v>832</v>
      </c>
      <c r="I637" s="22">
        <v>0</v>
      </c>
    </row>
    <row r="638" spans="1:9" ht="25.5" x14ac:dyDescent="0.25">
      <c r="A638" s="113">
        <v>621</v>
      </c>
      <c r="B638" s="150"/>
      <c r="C638" s="151"/>
      <c r="D638" s="113"/>
      <c r="E638" s="114" t="s">
        <v>744</v>
      </c>
      <c r="F638" s="22"/>
      <c r="G638" s="96">
        <f>G639+G655+G679+G734+G747+G754</f>
        <v>91006.412999999986</v>
      </c>
      <c r="H638" s="96">
        <f t="shared" ref="H638:I638" si="162">H639+H655+H679+H734+H747+H754</f>
        <v>87126.499999999985</v>
      </c>
      <c r="I638" s="96">
        <f t="shared" si="162"/>
        <v>87230.9</v>
      </c>
    </row>
    <row r="639" spans="1:9" x14ac:dyDescent="0.25">
      <c r="A639" s="154"/>
      <c r="B639" s="27" t="s">
        <v>666</v>
      </c>
      <c r="C639" s="116"/>
      <c r="D639" s="115"/>
      <c r="E639" s="117" t="s">
        <v>1388</v>
      </c>
      <c r="F639" s="22"/>
      <c r="G639" s="45">
        <f>G640</f>
        <v>96.5</v>
      </c>
      <c r="H639" s="45">
        <f t="shared" ref="H639:I641" si="163">H640</f>
        <v>100.30000000000001</v>
      </c>
      <c r="I639" s="45">
        <f t="shared" si="163"/>
        <v>104.4</v>
      </c>
    </row>
    <row r="640" spans="1:9" x14ac:dyDescent="0.25">
      <c r="A640" s="154"/>
      <c r="B640" s="27" t="s">
        <v>678</v>
      </c>
      <c r="C640" s="116"/>
      <c r="D640" s="115"/>
      <c r="E640" s="117" t="s">
        <v>679</v>
      </c>
      <c r="F640" s="22"/>
      <c r="G640" s="45">
        <f>G641</f>
        <v>96.5</v>
      </c>
      <c r="H640" s="45">
        <f t="shared" si="163"/>
        <v>100.30000000000001</v>
      </c>
      <c r="I640" s="45">
        <f t="shared" si="163"/>
        <v>104.4</v>
      </c>
    </row>
    <row r="641" spans="1:9" ht="25.5" x14ac:dyDescent="0.25">
      <c r="A641" s="155"/>
      <c r="B641" s="27"/>
      <c r="C641" s="116" t="s">
        <v>6</v>
      </c>
      <c r="D641" s="115"/>
      <c r="E641" s="122" t="s">
        <v>7</v>
      </c>
      <c r="F641" s="22"/>
      <c r="G641" s="45">
        <f>G642</f>
        <v>96.5</v>
      </c>
      <c r="H641" s="45">
        <f t="shared" si="163"/>
        <v>100.30000000000001</v>
      </c>
      <c r="I641" s="45">
        <f t="shared" si="163"/>
        <v>104.4</v>
      </c>
    </row>
    <row r="642" spans="1:9" ht="25.5" x14ac:dyDescent="0.25">
      <c r="A642" s="129"/>
      <c r="B642" s="130"/>
      <c r="C642" s="131" t="s">
        <v>195</v>
      </c>
      <c r="D642" s="130"/>
      <c r="E642" s="132" t="s">
        <v>196</v>
      </c>
      <c r="F642" s="22" t="e">
        <f>#REF!+F643+F857+F861</f>
        <v>#REF!</v>
      </c>
      <c r="G642" s="147">
        <f>G643+G647+G651</f>
        <v>96.5</v>
      </c>
      <c r="H642" s="147">
        <f t="shared" ref="H642:I642" si="164">H643+H647+H651</f>
        <v>100.30000000000001</v>
      </c>
      <c r="I642" s="147">
        <f t="shared" si="164"/>
        <v>104.4</v>
      </c>
    </row>
    <row r="643" spans="1:9" ht="26.25" x14ac:dyDescent="0.25">
      <c r="A643" s="49"/>
      <c r="B643" s="49"/>
      <c r="C643" s="49" t="s">
        <v>203</v>
      </c>
      <c r="D643" s="49"/>
      <c r="E643" s="50" t="s">
        <v>204</v>
      </c>
      <c r="F643" s="51" t="e">
        <f>F644</f>
        <v>#REF!</v>
      </c>
      <c r="G643" s="51">
        <f>G644</f>
        <v>10</v>
      </c>
      <c r="H643" s="51">
        <f>H644</f>
        <v>10.3</v>
      </c>
      <c r="I643" s="51">
        <f>I644</f>
        <v>10.8</v>
      </c>
    </row>
    <row r="644" spans="1:9" ht="26.25" x14ac:dyDescent="0.25">
      <c r="A644" s="52"/>
      <c r="B644" s="52"/>
      <c r="C644" s="52" t="s">
        <v>205</v>
      </c>
      <c r="D644" s="52"/>
      <c r="E644" s="53" t="s">
        <v>206</v>
      </c>
      <c r="F644" s="25" t="e">
        <f t="shared" ref="F644:I644" si="165">F645</f>
        <v>#REF!</v>
      </c>
      <c r="G644" s="25">
        <f t="shared" si="165"/>
        <v>10</v>
      </c>
      <c r="H644" s="25">
        <f t="shared" si="165"/>
        <v>10.3</v>
      </c>
      <c r="I644" s="25">
        <f t="shared" si="165"/>
        <v>10.8</v>
      </c>
    </row>
    <row r="645" spans="1:9" ht="26.25" x14ac:dyDescent="0.25">
      <c r="A645" s="111"/>
      <c r="B645" s="111"/>
      <c r="C645" s="11" t="s">
        <v>207</v>
      </c>
      <c r="D645" s="11"/>
      <c r="E645" s="5" t="s">
        <v>208</v>
      </c>
      <c r="F645" s="22" t="e">
        <f>#REF!</f>
        <v>#REF!</v>
      </c>
      <c r="G645" s="22">
        <v>10</v>
      </c>
      <c r="H645" s="22">
        <v>10.3</v>
      </c>
      <c r="I645" s="22">
        <v>10.8</v>
      </c>
    </row>
    <row r="646" spans="1:9" ht="26.25" x14ac:dyDescent="0.25">
      <c r="A646" s="111"/>
      <c r="B646" s="111"/>
      <c r="C646" s="11"/>
      <c r="D646" s="1" t="s">
        <v>658</v>
      </c>
      <c r="E646" s="2" t="s">
        <v>659</v>
      </c>
      <c r="F646" s="22"/>
      <c r="G646" s="22">
        <v>10</v>
      </c>
      <c r="H646" s="22">
        <v>10.3</v>
      </c>
      <c r="I646" s="22">
        <v>10.8</v>
      </c>
    </row>
    <row r="647" spans="1:9" ht="26.25" x14ac:dyDescent="0.25">
      <c r="A647" s="49"/>
      <c r="B647" s="49"/>
      <c r="C647" s="49" t="s">
        <v>209</v>
      </c>
      <c r="D647" s="49"/>
      <c r="E647" s="50" t="s">
        <v>210</v>
      </c>
      <c r="F647" s="51" t="e">
        <f t="shared" ref="F647:I648" si="166">F648</f>
        <v>#REF!</v>
      </c>
      <c r="G647" s="51">
        <f t="shared" si="166"/>
        <v>26.5</v>
      </c>
      <c r="H647" s="51">
        <f t="shared" si="166"/>
        <v>27.6</v>
      </c>
      <c r="I647" s="51">
        <f t="shared" si="166"/>
        <v>28.7</v>
      </c>
    </row>
    <row r="648" spans="1:9" ht="26.25" x14ac:dyDescent="0.25">
      <c r="A648" s="52"/>
      <c r="B648" s="52"/>
      <c r="C648" s="52" t="s">
        <v>211</v>
      </c>
      <c r="D648" s="52"/>
      <c r="E648" s="53" t="s">
        <v>212</v>
      </c>
      <c r="F648" s="25" t="e">
        <f t="shared" si="166"/>
        <v>#REF!</v>
      </c>
      <c r="G648" s="25">
        <f t="shared" si="166"/>
        <v>26.5</v>
      </c>
      <c r="H648" s="25">
        <f t="shared" si="166"/>
        <v>27.6</v>
      </c>
      <c r="I648" s="25">
        <f t="shared" si="166"/>
        <v>28.7</v>
      </c>
    </row>
    <row r="649" spans="1:9" ht="26.25" x14ac:dyDescent="0.25">
      <c r="A649" s="111"/>
      <c r="B649" s="111"/>
      <c r="C649" s="11" t="s">
        <v>213</v>
      </c>
      <c r="D649" s="11"/>
      <c r="E649" s="5" t="s">
        <v>214</v>
      </c>
      <c r="F649" s="72" t="e">
        <f>#REF!</f>
        <v>#REF!</v>
      </c>
      <c r="G649" s="72">
        <v>26.5</v>
      </c>
      <c r="H649" s="72">
        <v>27.6</v>
      </c>
      <c r="I649" s="72">
        <v>28.7</v>
      </c>
    </row>
    <row r="650" spans="1:9" ht="26.25" x14ac:dyDescent="0.25">
      <c r="A650" s="111"/>
      <c r="B650" s="111"/>
      <c r="C650" s="11"/>
      <c r="D650" s="1" t="s">
        <v>658</v>
      </c>
      <c r="E650" s="2" t="s">
        <v>659</v>
      </c>
      <c r="F650" s="72"/>
      <c r="G650" s="72">
        <v>26.5</v>
      </c>
      <c r="H650" s="72">
        <v>27.6</v>
      </c>
      <c r="I650" s="72">
        <v>28.7</v>
      </c>
    </row>
    <row r="651" spans="1:9" x14ac:dyDescent="0.25">
      <c r="A651" s="49"/>
      <c r="B651" s="49"/>
      <c r="C651" s="49" t="s">
        <v>599</v>
      </c>
      <c r="D651" s="49"/>
      <c r="E651" s="50" t="s">
        <v>215</v>
      </c>
      <c r="F651" s="51" t="e">
        <f t="shared" ref="F651:I652" si="167">F652</f>
        <v>#REF!</v>
      </c>
      <c r="G651" s="51">
        <f t="shared" si="167"/>
        <v>60</v>
      </c>
      <c r="H651" s="51">
        <f t="shared" si="167"/>
        <v>62.4</v>
      </c>
      <c r="I651" s="51">
        <f t="shared" si="167"/>
        <v>64.900000000000006</v>
      </c>
    </row>
    <row r="652" spans="1:9" ht="26.25" x14ac:dyDescent="0.25">
      <c r="A652" s="52"/>
      <c r="B652" s="52"/>
      <c r="C652" s="52" t="s">
        <v>600</v>
      </c>
      <c r="D652" s="52"/>
      <c r="E652" s="53" t="s">
        <v>216</v>
      </c>
      <c r="F652" s="25" t="e">
        <f t="shared" si="167"/>
        <v>#REF!</v>
      </c>
      <c r="G652" s="25">
        <f t="shared" si="167"/>
        <v>60</v>
      </c>
      <c r="H652" s="25">
        <f t="shared" si="167"/>
        <v>62.4</v>
      </c>
      <c r="I652" s="25">
        <f t="shared" si="167"/>
        <v>64.900000000000006</v>
      </c>
    </row>
    <row r="653" spans="1:9" ht="26.25" x14ac:dyDescent="0.25">
      <c r="A653" s="111"/>
      <c r="B653" s="111"/>
      <c r="C653" s="11" t="s">
        <v>1394</v>
      </c>
      <c r="D653" s="11"/>
      <c r="E653" s="5" t="s">
        <v>217</v>
      </c>
      <c r="F653" s="22" t="e">
        <f>#REF!</f>
        <v>#REF!</v>
      </c>
      <c r="G653" s="22">
        <v>60</v>
      </c>
      <c r="H653" s="22">
        <v>62.4</v>
      </c>
      <c r="I653" s="22">
        <v>64.900000000000006</v>
      </c>
    </row>
    <row r="654" spans="1:9" ht="26.25" x14ac:dyDescent="0.25">
      <c r="A654" s="111"/>
      <c r="B654" s="111"/>
      <c r="C654" s="11"/>
      <c r="D654" s="1" t="s">
        <v>658</v>
      </c>
      <c r="E654" s="2" t="s">
        <v>659</v>
      </c>
      <c r="F654" s="22"/>
      <c r="G654" s="22">
        <v>60</v>
      </c>
      <c r="H654" s="22">
        <v>62.4</v>
      </c>
      <c r="I654" s="22">
        <v>64.900000000000006</v>
      </c>
    </row>
    <row r="655" spans="1:9" x14ac:dyDescent="0.25">
      <c r="A655" s="155"/>
      <c r="B655" s="27" t="s">
        <v>718</v>
      </c>
      <c r="C655" s="116"/>
      <c r="D655" s="115"/>
      <c r="E655" s="117" t="s">
        <v>719</v>
      </c>
      <c r="F655" s="22"/>
      <c r="G655" s="45">
        <f>G656+G663</f>
        <v>18918.599999999999</v>
      </c>
      <c r="H655" s="45">
        <f t="shared" ref="H655:I655" si="168">H656+H663</f>
        <v>18944.099999999999</v>
      </c>
      <c r="I655" s="45">
        <f t="shared" si="168"/>
        <v>18970.2</v>
      </c>
    </row>
    <row r="656" spans="1:9" x14ac:dyDescent="0.25">
      <c r="A656" s="155"/>
      <c r="B656" s="27" t="s">
        <v>734</v>
      </c>
      <c r="C656" s="116"/>
      <c r="D656" s="115"/>
      <c r="E656" s="117" t="s">
        <v>735</v>
      </c>
      <c r="F656" s="22"/>
      <c r="G656" s="45">
        <f>G657</f>
        <v>18484.099999999999</v>
      </c>
      <c r="H656" s="45">
        <f t="shared" ref="H656:I658" si="169">H657</f>
        <v>18504.5</v>
      </c>
      <c r="I656" s="45">
        <f t="shared" si="169"/>
        <v>18525.400000000001</v>
      </c>
    </row>
    <row r="657" spans="1:9" ht="25.5" x14ac:dyDescent="0.25">
      <c r="A657" s="155"/>
      <c r="B657" s="27"/>
      <c r="C657" s="116" t="s">
        <v>6</v>
      </c>
      <c r="D657" s="27"/>
      <c r="E657" s="122" t="s">
        <v>7</v>
      </c>
      <c r="F657" s="22"/>
      <c r="G657" s="45">
        <f>G658</f>
        <v>18484.099999999999</v>
      </c>
      <c r="H657" s="45">
        <f t="shared" si="169"/>
        <v>18504.5</v>
      </c>
      <c r="I657" s="45">
        <f t="shared" si="169"/>
        <v>18525.400000000001</v>
      </c>
    </row>
    <row r="658" spans="1:9" ht="38.25" x14ac:dyDescent="0.25">
      <c r="A658" s="129"/>
      <c r="B658" s="130"/>
      <c r="C658" s="131" t="s">
        <v>256</v>
      </c>
      <c r="D658" s="130"/>
      <c r="E658" s="132" t="s">
        <v>257</v>
      </c>
      <c r="F658" s="22" t="e">
        <f>F659+F706+F714</f>
        <v>#REF!</v>
      </c>
      <c r="G658" s="147">
        <f>G659</f>
        <v>18484.099999999999</v>
      </c>
      <c r="H658" s="147">
        <f t="shared" si="169"/>
        <v>18504.5</v>
      </c>
      <c r="I658" s="147">
        <f t="shared" si="169"/>
        <v>18525.400000000001</v>
      </c>
    </row>
    <row r="659" spans="1:9" ht="26.25" x14ac:dyDescent="0.25">
      <c r="A659" s="49"/>
      <c r="B659" s="49"/>
      <c r="C659" s="49" t="s">
        <v>258</v>
      </c>
      <c r="D659" s="49"/>
      <c r="E659" s="50" t="s">
        <v>259</v>
      </c>
      <c r="F659" s="51" t="e">
        <f>F663+F757+F784+F682+F685+F690+F693</f>
        <v>#REF!</v>
      </c>
      <c r="G659" s="51">
        <f>G660</f>
        <v>18484.099999999999</v>
      </c>
      <c r="H659" s="51">
        <f t="shared" ref="H659:I659" si="170">H660</f>
        <v>18504.5</v>
      </c>
      <c r="I659" s="51">
        <f t="shared" si="170"/>
        <v>18525.400000000001</v>
      </c>
    </row>
    <row r="660" spans="1:9" ht="26.25" x14ac:dyDescent="0.25">
      <c r="A660" s="52"/>
      <c r="B660" s="52"/>
      <c r="C660" s="52" t="s">
        <v>271</v>
      </c>
      <c r="D660" s="52"/>
      <c r="E660" s="53" t="s">
        <v>272</v>
      </c>
      <c r="F660" s="25" t="e">
        <f t="shared" ref="F660:I660" si="171">F661</f>
        <v>#REF!</v>
      </c>
      <c r="G660" s="25">
        <f t="shared" si="171"/>
        <v>18484.099999999999</v>
      </c>
      <c r="H660" s="25">
        <f t="shared" si="171"/>
        <v>18504.5</v>
      </c>
      <c r="I660" s="25">
        <f t="shared" si="171"/>
        <v>18525.400000000001</v>
      </c>
    </row>
    <row r="661" spans="1:9" x14ac:dyDescent="0.25">
      <c r="A661" s="111"/>
      <c r="B661" s="111"/>
      <c r="C661" s="11" t="s">
        <v>273</v>
      </c>
      <c r="D661" s="11"/>
      <c r="E661" s="14" t="s">
        <v>605</v>
      </c>
      <c r="F661" s="22" t="e">
        <f>#REF!</f>
        <v>#REF!</v>
      </c>
      <c r="G661" s="22">
        <f>19408.5-924.4</f>
        <v>18484.099999999999</v>
      </c>
      <c r="H661" s="22">
        <f>20184.8-1680.3</f>
        <v>18504.5</v>
      </c>
      <c r="I661" s="22">
        <f>20992.2-2466.8</f>
        <v>18525.400000000001</v>
      </c>
    </row>
    <row r="662" spans="1:9" ht="26.25" x14ac:dyDescent="0.25">
      <c r="A662" s="111"/>
      <c r="B662" s="111"/>
      <c r="C662" s="11"/>
      <c r="D662" s="1" t="s">
        <v>658</v>
      </c>
      <c r="E662" s="2" t="s">
        <v>659</v>
      </c>
      <c r="F662" s="22"/>
      <c r="G662" s="22">
        <f>19408.5-924.4</f>
        <v>18484.099999999999</v>
      </c>
      <c r="H662" s="22">
        <f>20184.8-1680.3</f>
        <v>18504.5</v>
      </c>
      <c r="I662" s="22">
        <f>20992.2-2466.8</f>
        <v>18525.400000000001</v>
      </c>
    </row>
    <row r="663" spans="1:9" x14ac:dyDescent="0.25">
      <c r="A663" s="154"/>
      <c r="B663" s="27" t="s">
        <v>738</v>
      </c>
      <c r="C663" s="116"/>
      <c r="D663" s="27"/>
      <c r="E663" s="117" t="s">
        <v>739</v>
      </c>
      <c r="F663" s="22"/>
      <c r="G663" s="45">
        <f>G664</f>
        <v>434.5</v>
      </c>
      <c r="H663" s="45">
        <f t="shared" ref="H663:I663" si="172">H664</f>
        <v>439.6</v>
      </c>
      <c r="I663" s="45">
        <f t="shared" si="172"/>
        <v>444.8</v>
      </c>
    </row>
    <row r="664" spans="1:9" ht="25.5" x14ac:dyDescent="0.25">
      <c r="A664" s="154"/>
      <c r="B664" s="27"/>
      <c r="C664" s="116" t="s">
        <v>6</v>
      </c>
      <c r="D664" s="27"/>
      <c r="E664" s="122" t="s">
        <v>7</v>
      </c>
      <c r="F664" s="22"/>
      <c r="G664" s="45">
        <f>G665+G670</f>
        <v>434.5</v>
      </c>
      <c r="H664" s="45">
        <f t="shared" ref="H664:I664" si="173">H665+H670</f>
        <v>439.6</v>
      </c>
      <c r="I664" s="45">
        <f t="shared" si="173"/>
        <v>444.8</v>
      </c>
    </row>
    <row r="665" spans="1:9" ht="25.5" x14ac:dyDescent="0.25">
      <c r="A665" s="129"/>
      <c r="B665" s="130"/>
      <c r="C665" s="131" t="s">
        <v>65</v>
      </c>
      <c r="D665" s="130"/>
      <c r="E665" s="132" t="s">
        <v>66</v>
      </c>
      <c r="F665" s="22"/>
      <c r="G665" s="147">
        <f>G666</f>
        <v>127.5</v>
      </c>
      <c r="H665" s="147">
        <f t="shared" ref="H665" si="174">H666</f>
        <v>132.6</v>
      </c>
      <c r="I665" s="147">
        <f t="shared" ref="I665" si="175">I666</f>
        <v>137.80000000000001</v>
      </c>
    </row>
    <row r="666" spans="1:9" ht="26.25" x14ac:dyDescent="0.25">
      <c r="A666" s="49"/>
      <c r="B666" s="49"/>
      <c r="C666" s="49" t="s">
        <v>139</v>
      </c>
      <c r="D666" s="49"/>
      <c r="E666" s="55" t="s">
        <v>140</v>
      </c>
      <c r="F666" s="51" t="e">
        <f t="shared" ref="F666:I667" si="176">F667</f>
        <v>#REF!</v>
      </c>
      <c r="G666" s="51">
        <f t="shared" si="176"/>
        <v>127.5</v>
      </c>
      <c r="H666" s="51">
        <f t="shared" si="176"/>
        <v>132.6</v>
      </c>
      <c r="I666" s="51">
        <f t="shared" si="176"/>
        <v>137.80000000000001</v>
      </c>
    </row>
    <row r="667" spans="1:9" ht="26.25" x14ac:dyDescent="0.25">
      <c r="A667" s="52"/>
      <c r="B667" s="52"/>
      <c r="C667" s="52" t="s">
        <v>141</v>
      </c>
      <c r="D667" s="52"/>
      <c r="E667" s="53" t="s">
        <v>142</v>
      </c>
      <c r="F667" s="25" t="e">
        <f>F671+#REF!+F669</f>
        <v>#REF!</v>
      </c>
      <c r="G667" s="25">
        <f>G668</f>
        <v>127.5</v>
      </c>
      <c r="H667" s="25">
        <f t="shared" si="176"/>
        <v>132.6</v>
      </c>
      <c r="I667" s="25">
        <f t="shared" si="176"/>
        <v>137.80000000000001</v>
      </c>
    </row>
    <row r="668" spans="1:9" ht="26.25" x14ac:dyDescent="0.25">
      <c r="A668" s="111"/>
      <c r="B668" s="111"/>
      <c r="C668" s="11" t="s">
        <v>145</v>
      </c>
      <c r="D668" s="11"/>
      <c r="E668" s="5" t="s">
        <v>146</v>
      </c>
      <c r="F668" s="22">
        <v>1870</v>
      </c>
      <c r="G668" s="22">
        <v>127.5</v>
      </c>
      <c r="H668" s="22">
        <v>132.6</v>
      </c>
      <c r="I668" s="22">
        <v>137.80000000000001</v>
      </c>
    </row>
    <row r="669" spans="1:9" ht="26.25" x14ac:dyDescent="0.25">
      <c r="A669" s="111"/>
      <c r="B669" s="111"/>
      <c r="C669" s="11"/>
      <c r="D669" s="1" t="s">
        <v>658</v>
      </c>
      <c r="E669" s="2" t="s">
        <v>659</v>
      </c>
      <c r="F669" s="22"/>
      <c r="G669" s="22">
        <v>127.5</v>
      </c>
      <c r="H669" s="22">
        <v>132.6</v>
      </c>
      <c r="I669" s="22">
        <v>137.80000000000001</v>
      </c>
    </row>
    <row r="670" spans="1:9" ht="38.25" x14ac:dyDescent="0.25">
      <c r="A670" s="129"/>
      <c r="B670" s="130"/>
      <c r="C670" s="131" t="s">
        <v>256</v>
      </c>
      <c r="D670" s="130"/>
      <c r="E670" s="132" t="s">
        <v>257</v>
      </c>
      <c r="F670" s="22" t="e">
        <f>#REF!+F703+F707</f>
        <v>#REF!</v>
      </c>
      <c r="G670" s="147">
        <f>G671</f>
        <v>307</v>
      </c>
      <c r="H670" s="147">
        <f t="shared" ref="H670:I670" si="177">H671</f>
        <v>307</v>
      </c>
      <c r="I670" s="147">
        <f t="shared" si="177"/>
        <v>307</v>
      </c>
    </row>
    <row r="671" spans="1:9" x14ac:dyDescent="0.25">
      <c r="A671" s="49"/>
      <c r="B671" s="49"/>
      <c r="C671" s="49" t="s">
        <v>301</v>
      </c>
      <c r="D671" s="49"/>
      <c r="E671" s="50" t="s">
        <v>302</v>
      </c>
      <c r="F671" s="51" t="e">
        <f>F672</f>
        <v>#REF!</v>
      </c>
      <c r="G671" s="51">
        <f>G672</f>
        <v>307</v>
      </c>
      <c r="H671" s="51">
        <f>H672</f>
        <v>307</v>
      </c>
      <c r="I671" s="51">
        <f>I672</f>
        <v>307</v>
      </c>
    </row>
    <row r="672" spans="1:9" ht="26.25" x14ac:dyDescent="0.25">
      <c r="A672" s="52"/>
      <c r="B672" s="52"/>
      <c r="C672" s="52" t="s">
        <v>303</v>
      </c>
      <c r="D672" s="52"/>
      <c r="E672" s="53" t="s">
        <v>304</v>
      </c>
      <c r="F672" s="25" t="e">
        <f>F673+F675</f>
        <v>#REF!</v>
      </c>
      <c r="G672" s="25">
        <f>G673+G675</f>
        <v>307</v>
      </c>
      <c r="H672" s="25">
        <f>H673+H675</f>
        <v>307</v>
      </c>
      <c r="I672" s="25">
        <f>I673+I675</f>
        <v>307</v>
      </c>
    </row>
    <row r="673" spans="1:9" ht="90" x14ac:dyDescent="0.25">
      <c r="A673" s="111"/>
      <c r="B673" s="111"/>
      <c r="C673" s="11" t="s">
        <v>305</v>
      </c>
      <c r="D673" s="11"/>
      <c r="E673" s="5" t="s">
        <v>306</v>
      </c>
      <c r="F673" s="22" t="e">
        <f>#REF!</f>
        <v>#REF!</v>
      </c>
      <c r="G673" s="22">
        <v>157</v>
      </c>
      <c r="H673" s="22">
        <v>157</v>
      </c>
      <c r="I673" s="22">
        <v>157</v>
      </c>
    </row>
    <row r="674" spans="1:9" ht="26.25" x14ac:dyDescent="0.25">
      <c r="A674" s="111"/>
      <c r="B674" s="111"/>
      <c r="C674" s="11"/>
      <c r="D674" s="1" t="s">
        <v>658</v>
      </c>
      <c r="E674" s="2" t="s">
        <v>659</v>
      </c>
      <c r="F674" s="22"/>
      <c r="G674" s="22">
        <v>157</v>
      </c>
      <c r="H674" s="22">
        <v>157</v>
      </c>
      <c r="I674" s="22">
        <v>157</v>
      </c>
    </row>
    <row r="675" spans="1:9" x14ac:dyDescent="0.25">
      <c r="A675" s="111"/>
      <c r="B675" s="111"/>
      <c r="C675" s="26" t="s">
        <v>307</v>
      </c>
      <c r="D675" s="26"/>
      <c r="E675" s="3" t="s">
        <v>308</v>
      </c>
      <c r="F675" s="22" t="e">
        <f>#REF!</f>
        <v>#REF!</v>
      </c>
      <c r="G675" s="22">
        <v>150</v>
      </c>
      <c r="H675" s="22">
        <v>150</v>
      </c>
      <c r="I675" s="22">
        <v>150</v>
      </c>
    </row>
    <row r="676" spans="1:9" ht="26.25" x14ac:dyDescent="0.25">
      <c r="A676" s="111"/>
      <c r="B676" s="111"/>
      <c r="C676" s="26"/>
      <c r="D676" s="1" t="s">
        <v>658</v>
      </c>
      <c r="E676" s="2" t="s">
        <v>659</v>
      </c>
      <c r="F676" s="22"/>
      <c r="G676" s="22">
        <v>150</v>
      </c>
      <c r="H676" s="22">
        <v>150</v>
      </c>
      <c r="I676" s="22">
        <v>150</v>
      </c>
    </row>
    <row r="677" spans="1:9" x14ac:dyDescent="0.25">
      <c r="A677" s="111"/>
      <c r="B677" s="111"/>
      <c r="C677" s="11"/>
      <c r="D677" s="11"/>
      <c r="E677" s="3" t="s">
        <v>224</v>
      </c>
      <c r="F677" s="22"/>
      <c r="G677" s="22">
        <v>0</v>
      </c>
      <c r="H677" s="22">
        <v>0</v>
      </c>
      <c r="I677" s="22">
        <v>0</v>
      </c>
    </row>
    <row r="678" spans="1:9" x14ac:dyDescent="0.25">
      <c r="A678" s="111"/>
      <c r="B678" s="111"/>
      <c r="C678" s="11"/>
      <c r="D678" s="11"/>
      <c r="E678" s="3" t="s">
        <v>172</v>
      </c>
      <c r="F678" s="22"/>
      <c r="G678" s="22">
        <v>150</v>
      </c>
      <c r="H678" s="22">
        <v>150</v>
      </c>
      <c r="I678" s="22">
        <v>150</v>
      </c>
    </row>
    <row r="679" spans="1:9" x14ac:dyDescent="0.25">
      <c r="A679" s="115"/>
      <c r="B679" s="27" t="s">
        <v>746</v>
      </c>
      <c r="C679" s="116"/>
      <c r="D679" s="115"/>
      <c r="E679" s="117" t="s">
        <v>747</v>
      </c>
      <c r="F679" s="22"/>
      <c r="G679" s="45">
        <f>G680+G716</f>
        <v>70131.512999999992</v>
      </c>
      <c r="H679" s="45">
        <f t="shared" ref="H679:I679" si="178">H680+H716</f>
        <v>66298.399999999994</v>
      </c>
      <c r="I679" s="45">
        <f t="shared" si="178"/>
        <v>66372.599999999991</v>
      </c>
    </row>
    <row r="680" spans="1:9" x14ac:dyDescent="0.25">
      <c r="A680" s="110"/>
      <c r="B680" s="27" t="s">
        <v>748</v>
      </c>
      <c r="C680" s="116"/>
      <c r="D680" s="115"/>
      <c r="E680" s="117" t="s">
        <v>749</v>
      </c>
      <c r="F680" s="22"/>
      <c r="G680" s="45">
        <f>G681</f>
        <v>64902.112999999998</v>
      </c>
      <c r="H680" s="45">
        <f t="shared" ref="H680:I682" si="179">H681</f>
        <v>61069</v>
      </c>
      <c r="I680" s="45">
        <f t="shared" si="179"/>
        <v>61143.199999999997</v>
      </c>
    </row>
    <row r="681" spans="1:9" ht="25.5" x14ac:dyDescent="0.25">
      <c r="A681" s="110"/>
      <c r="B681" s="27"/>
      <c r="C681" s="116" t="s">
        <v>6</v>
      </c>
      <c r="D681" s="27"/>
      <c r="E681" s="122" t="s">
        <v>7</v>
      </c>
      <c r="F681" s="22"/>
      <c r="G681" s="45">
        <f>G682</f>
        <v>64902.112999999998</v>
      </c>
      <c r="H681" s="45">
        <f t="shared" si="179"/>
        <v>61069</v>
      </c>
      <c r="I681" s="45">
        <f t="shared" si="179"/>
        <v>61143.199999999997</v>
      </c>
    </row>
    <row r="682" spans="1:9" ht="38.25" x14ac:dyDescent="0.25">
      <c r="A682" s="129"/>
      <c r="B682" s="130"/>
      <c r="C682" s="131" t="s">
        <v>256</v>
      </c>
      <c r="D682" s="130"/>
      <c r="E682" s="132" t="s">
        <v>257</v>
      </c>
      <c r="F682" s="22" t="e">
        <f>F683+F671+F758</f>
        <v>#REF!</v>
      </c>
      <c r="G682" s="147">
        <f>G683</f>
        <v>64902.112999999998</v>
      </c>
      <c r="H682" s="147">
        <f t="shared" si="179"/>
        <v>61069</v>
      </c>
      <c r="I682" s="147">
        <f t="shared" si="179"/>
        <v>61143.199999999997</v>
      </c>
    </row>
    <row r="683" spans="1:9" ht="26.25" x14ac:dyDescent="0.25">
      <c r="A683" s="49"/>
      <c r="B683" s="49"/>
      <c r="C683" s="49" t="s">
        <v>258</v>
      </c>
      <c r="D683" s="49"/>
      <c r="E683" s="50" t="s">
        <v>259</v>
      </c>
      <c r="F683" s="51" t="e">
        <f>F684+F687+F692+F660+F726+F731+F695</f>
        <v>#REF!</v>
      </c>
      <c r="G683" s="51">
        <f>G684+G687+G692+G695</f>
        <v>64902.112999999998</v>
      </c>
      <c r="H683" s="51">
        <f t="shared" ref="H683:I683" si="180">H684+H687+H692+H695</f>
        <v>61069</v>
      </c>
      <c r="I683" s="51">
        <f t="shared" si="180"/>
        <v>61143.199999999997</v>
      </c>
    </row>
    <row r="684" spans="1:9" ht="39" x14ac:dyDescent="0.25">
      <c r="A684" s="52"/>
      <c r="B684" s="52"/>
      <c r="C684" s="52" t="s">
        <v>260</v>
      </c>
      <c r="D684" s="52"/>
      <c r="E684" s="53" t="s">
        <v>261</v>
      </c>
      <c r="F684" s="25" t="e">
        <f t="shared" ref="F684:I684" si="181">F685</f>
        <v>#REF!</v>
      </c>
      <c r="G684" s="25">
        <f t="shared" si="181"/>
        <v>41891.1</v>
      </c>
      <c r="H684" s="25">
        <f t="shared" si="181"/>
        <v>42099.4</v>
      </c>
      <c r="I684" s="25">
        <f t="shared" si="181"/>
        <v>42316.2</v>
      </c>
    </row>
    <row r="685" spans="1:9" ht="26.25" x14ac:dyDescent="0.25">
      <c r="A685" s="11"/>
      <c r="B685" s="11"/>
      <c r="C685" s="11" t="s">
        <v>262</v>
      </c>
      <c r="D685" s="11"/>
      <c r="E685" s="14" t="s">
        <v>602</v>
      </c>
      <c r="F685" s="22" t="e">
        <f>#REF!</f>
        <v>#REF!</v>
      </c>
      <c r="G685" s="22">
        <f>44018.7-2127.6</f>
        <v>41891.1</v>
      </c>
      <c r="H685" s="22">
        <f>45779.4-3680</f>
        <v>42099.4</v>
      </c>
      <c r="I685" s="22">
        <f>47610.6-5294.4</f>
        <v>42316.2</v>
      </c>
    </row>
    <row r="686" spans="1:9" ht="26.25" x14ac:dyDescent="0.25">
      <c r="A686" s="11"/>
      <c r="B686" s="11"/>
      <c r="C686" s="11"/>
      <c r="D686" s="1" t="s">
        <v>658</v>
      </c>
      <c r="E686" s="2" t="s">
        <v>659</v>
      </c>
      <c r="F686" s="22"/>
      <c r="G686" s="22">
        <f>44018.7-2127.6</f>
        <v>41891.1</v>
      </c>
      <c r="H686" s="22">
        <f>45779.4-3680</f>
        <v>42099.4</v>
      </c>
      <c r="I686" s="22">
        <f>47610.6-5294.4</f>
        <v>42316.2</v>
      </c>
    </row>
    <row r="687" spans="1:9" ht="36" customHeight="1" x14ac:dyDescent="0.25">
      <c r="A687" s="52"/>
      <c r="B687" s="52"/>
      <c r="C687" s="52" t="s">
        <v>263</v>
      </c>
      <c r="D687" s="52"/>
      <c r="E687" s="53" t="s">
        <v>264</v>
      </c>
      <c r="F687" s="25" t="e">
        <f>F688+F690</f>
        <v>#REF!</v>
      </c>
      <c r="G687" s="25">
        <f>G688+G690</f>
        <v>17389.399999999998</v>
      </c>
      <c r="H687" s="25">
        <f>H688+H690</f>
        <v>17442.900000000001</v>
      </c>
      <c r="I687" s="25">
        <f>I688+I690</f>
        <v>17498.2</v>
      </c>
    </row>
    <row r="688" spans="1:9" ht="26.25" x14ac:dyDescent="0.25">
      <c r="A688" s="11"/>
      <c r="B688" s="11"/>
      <c r="C688" s="11" t="s">
        <v>265</v>
      </c>
      <c r="D688" s="11"/>
      <c r="E688" s="14" t="s">
        <v>603</v>
      </c>
      <c r="F688" s="22" t="e">
        <f>#REF!</f>
        <v>#REF!</v>
      </c>
      <c r="G688" s="22">
        <f>17101.3-211.9</f>
        <v>16889.399999999998</v>
      </c>
      <c r="H688" s="22">
        <f>17785.4-842.5</f>
        <v>16942.900000000001</v>
      </c>
      <c r="I688" s="22">
        <f>18496.8-1498.6</f>
        <v>16998.2</v>
      </c>
    </row>
    <row r="689" spans="1:11" ht="26.25" x14ac:dyDescent="0.25">
      <c r="A689" s="11"/>
      <c r="B689" s="11"/>
      <c r="C689" s="11"/>
      <c r="D689" s="1" t="s">
        <v>658</v>
      </c>
      <c r="E689" s="2" t="s">
        <v>659</v>
      </c>
      <c r="F689" s="22"/>
      <c r="G689" s="22">
        <f>17101.3-211.9</f>
        <v>16889.399999999998</v>
      </c>
      <c r="H689" s="22">
        <f>17785.4-842.5</f>
        <v>16942.900000000001</v>
      </c>
      <c r="I689" s="22">
        <f>18496.8-1498.6</f>
        <v>16998.2</v>
      </c>
    </row>
    <row r="690" spans="1:11" ht="26.25" x14ac:dyDescent="0.25">
      <c r="A690" s="11"/>
      <c r="B690" s="11"/>
      <c r="C690" s="11" t="s">
        <v>266</v>
      </c>
      <c r="D690" s="11"/>
      <c r="E690" s="14" t="s">
        <v>267</v>
      </c>
      <c r="F690" s="22" t="e">
        <f>#REF!</f>
        <v>#REF!</v>
      </c>
      <c r="G690" s="22">
        <v>500</v>
      </c>
      <c r="H690" s="22">
        <v>500</v>
      </c>
      <c r="I690" s="22">
        <v>500</v>
      </c>
    </row>
    <row r="691" spans="1:11" ht="26.25" x14ac:dyDescent="0.25">
      <c r="A691" s="11"/>
      <c r="B691" s="11"/>
      <c r="C691" s="11"/>
      <c r="D691" s="1" t="s">
        <v>658</v>
      </c>
      <c r="E691" s="2" t="s">
        <v>659</v>
      </c>
      <c r="F691" s="22"/>
      <c r="G691" s="22">
        <v>500</v>
      </c>
      <c r="H691" s="22">
        <v>500</v>
      </c>
      <c r="I691" s="22">
        <v>500</v>
      </c>
    </row>
    <row r="692" spans="1:11" ht="26.25" x14ac:dyDescent="0.25">
      <c r="A692" s="52"/>
      <c r="B692" s="52"/>
      <c r="C692" s="52" t="s">
        <v>268</v>
      </c>
      <c r="D692" s="52"/>
      <c r="E692" s="53" t="s">
        <v>269</v>
      </c>
      <c r="F692" s="25" t="e">
        <f t="shared" ref="F692:I692" si="182">F693</f>
        <v>#REF!</v>
      </c>
      <c r="G692" s="25">
        <f t="shared" si="182"/>
        <v>1324.7</v>
      </c>
      <c r="H692" s="25">
        <f t="shared" si="182"/>
        <v>1326.7</v>
      </c>
      <c r="I692" s="25">
        <f t="shared" si="182"/>
        <v>1328.8</v>
      </c>
    </row>
    <row r="693" spans="1:11" x14ac:dyDescent="0.25">
      <c r="A693" s="11"/>
      <c r="B693" s="11"/>
      <c r="C693" s="11" t="s">
        <v>270</v>
      </c>
      <c r="D693" s="11"/>
      <c r="E693" s="14" t="s">
        <v>604</v>
      </c>
      <c r="F693" s="22" t="e">
        <f>#REF!</f>
        <v>#REF!</v>
      </c>
      <c r="G693" s="22">
        <f>1337-12.3</f>
        <v>1324.7</v>
      </c>
      <c r="H693" s="22">
        <f>1390.5-63.8</f>
        <v>1326.7</v>
      </c>
      <c r="I693" s="22">
        <f>1446.1-117.3</f>
        <v>1328.8</v>
      </c>
    </row>
    <row r="694" spans="1:11" ht="26.25" x14ac:dyDescent="0.25">
      <c r="A694" s="11"/>
      <c r="B694" s="11"/>
      <c r="C694" s="11"/>
      <c r="D694" s="1" t="s">
        <v>658</v>
      </c>
      <c r="E694" s="2" t="s">
        <v>659</v>
      </c>
      <c r="F694" s="22"/>
      <c r="G694" s="22">
        <f>1337-12.3</f>
        <v>1324.7</v>
      </c>
      <c r="H694" s="22">
        <f>1390.5-63.8</f>
        <v>1326.7</v>
      </c>
      <c r="I694" s="22">
        <f>1446.1-117.3</f>
        <v>1328.8</v>
      </c>
      <c r="K694" s="63">
        <f>G698+'[1]МП 02'!G72</f>
        <v>4701.335</v>
      </c>
    </row>
    <row r="695" spans="1:11" s="79" customFormat="1" ht="51.75" x14ac:dyDescent="0.25">
      <c r="A695" s="52"/>
      <c r="B695" s="52"/>
      <c r="C695" s="52" t="s">
        <v>283</v>
      </c>
      <c r="D695" s="52"/>
      <c r="E695" s="75" t="s">
        <v>284</v>
      </c>
      <c r="F695" s="25" t="e">
        <f>F696+F700+F706+F710+F714+#REF!+#REF!</f>
        <v>#REF!</v>
      </c>
      <c r="G695" s="25">
        <f>G696+G700+G714</f>
        <v>4296.9130000000005</v>
      </c>
      <c r="H695" s="25">
        <f t="shared" ref="H695:I695" si="183">H696+H700+H714</f>
        <v>200</v>
      </c>
      <c r="I695" s="25">
        <f t="shared" si="183"/>
        <v>0</v>
      </c>
    </row>
    <row r="696" spans="1:11" ht="51.75" x14ac:dyDescent="0.25">
      <c r="A696" s="11"/>
      <c r="B696" s="11"/>
      <c r="C696" s="11" t="s">
        <v>285</v>
      </c>
      <c r="D696" s="20"/>
      <c r="E696" s="5" t="s">
        <v>286</v>
      </c>
      <c r="F696" s="22" t="e">
        <f>#REF!</f>
        <v>#REF!</v>
      </c>
      <c r="G696" s="439">
        <f>G698+G699</f>
        <v>1428.7130000000002</v>
      </c>
      <c r="H696" s="22">
        <v>0</v>
      </c>
      <c r="I696" s="22">
        <v>0</v>
      </c>
    </row>
    <row r="697" spans="1:11" ht="26.25" x14ac:dyDescent="0.25">
      <c r="A697" s="11"/>
      <c r="B697" s="11"/>
      <c r="C697" s="11"/>
      <c r="D697" s="1" t="s">
        <v>658</v>
      </c>
      <c r="E697" s="2" t="s">
        <v>659</v>
      </c>
      <c r="F697" s="22"/>
      <c r="G697" s="439">
        <f>G698+G699</f>
        <v>1428.7130000000002</v>
      </c>
      <c r="H697" s="22">
        <v>0</v>
      </c>
      <c r="I697" s="22">
        <v>0</v>
      </c>
    </row>
    <row r="698" spans="1:11" x14ac:dyDescent="0.25">
      <c r="A698" s="11"/>
      <c r="B698" s="11"/>
      <c r="C698" s="11"/>
      <c r="D698" s="11"/>
      <c r="E698" s="3" t="s">
        <v>224</v>
      </c>
      <c r="F698" s="22">
        <v>0</v>
      </c>
      <c r="G698" s="439">
        <v>1071.5350000000001</v>
      </c>
      <c r="H698" s="22">
        <v>0</v>
      </c>
      <c r="I698" s="22">
        <v>0</v>
      </c>
    </row>
    <row r="699" spans="1:11" x14ac:dyDescent="0.25">
      <c r="A699" s="11"/>
      <c r="B699" s="11"/>
      <c r="C699" s="11"/>
      <c r="D699" s="11"/>
      <c r="E699" s="5" t="s">
        <v>172</v>
      </c>
      <c r="F699" s="22">
        <v>0</v>
      </c>
      <c r="G699" s="439">
        <v>357.178</v>
      </c>
      <c r="H699" s="22">
        <v>0</v>
      </c>
      <c r="I699" s="22">
        <v>0</v>
      </c>
    </row>
    <row r="700" spans="1:11" ht="38.25" x14ac:dyDescent="0.25">
      <c r="A700" s="26"/>
      <c r="B700" s="26"/>
      <c r="C700" s="26" t="s">
        <v>289</v>
      </c>
      <c r="D700" s="76"/>
      <c r="E700" s="77" t="s">
        <v>745</v>
      </c>
      <c r="F700" s="78" t="e">
        <f>#REF!</f>
        <v>#REF!</v>
      </c>
      <c r="G700" s="78">
        <f>G704</f>
        <v>440</v>
      </c>
      <c r="H700" s="78">
        <f t="shared" ref="H700:I700" si="184">H704</f>
        <v>200</v>
      </c>
      <c r="I700" s="78">
        <f t="shared" si="184"/>
        <v>0</v>
      </c>
    </row>
    <row r="701" spans="1:11" s="81" customFormat="1" x14ac:dyDescent="0.25">
      <c r="A701" s="76"/>
      <c r="B701" s="76"/>
      <c r="C701" s="76"/>
      <c r="D701" s="76"/>
      <c r="E701" s="3" t="s">
        <v>224</v>
      </c>
      <c r="F701" s="78">
        <v>0</v>
      </c>
      <c r="G701" s="78"/>
      <c r="H701" s="78"/>
      <c r="I701" s="78"/>
    </row>
    <row r="702" spans="1:11" x14ac:dyDescent="0.25">
      <c r="A702" s="76"/>
      <c r="B702" s="76"/>
      <c r="C702" s="76"/>
      <c r="D702" s="76"/>
      <c r="E702" s="5" t="s">
        <v>172</v>
      </c>
      <c r="F702" s="78">
        <v>0</v>
      </c>
      <c r="G702" s="78">
        <v>0</v>
      </c>
      <c r="H702" s="78">
        <v>0</v>
      </c>
      <c r="I702" s="78">
        <v>0</v>
      </c>
    </row>
    <row r="703" spans="1:11" ht="39" x14ac:dyDescent="0.25">
      <c r="A703" s="11"/>
      <c r="B703" s="11"/>
      <c r="C703" s="11" t="s">
        <v>289</v>
      </c>
      <c r="D703" s="76"/>
      <c r="E703" s="5" t="s">
        <v>290</v>
      </c>
      <c r="F703" s="78" t="e">
        <f>F706+F710</f>
        <v>#REF!</v>
      </c>
      <c r="G703" s="78">
        <v>440</v>
      </c>
      <c r="H703" s="78">
        <v>200</v>
      </c>
      <c r="I703" s="78">
        <v>0</v>
      </c>
    </row>
    <row r="704" spans="1:11" ht="26.25" x14ac:dyDescent="0.25">
      <c r="A704" s="11"/>
      <c r="B704" s="11"/>
      <c r="C704" s="11"/>
      <c r="D704" s="1" t="s">
        <v>658</v>
      </c>
      <c r="E704" s="2" t="s">
        <v>659</v>
      </c>
      <c r="F704" s="78"/>
      <c r="G704" s="78">
        <v>440</v>
      </c>
      <c r="H704" s="78">
        <v>200</v>
      </c>
      <c r="I704" s="78">
        <v>0</v>
      </c>
    </row>
    <row r="705" spans="1:9" x14ac:dyDescent="0.25">
      <c r="A705" s="111"/>
      <c r="B705" s="111"/>
      <c r="C705" s="11"/>
      <c r="D705" s="76"/>
      <c r="E705" s="5" t="s">
        <v>291</v>
      </c>
      <c r="F705" s="78"/>
      <c r="G705" s="78"/>
      <c r="H705" s="78"/>
      <c r="I705" s="78"/>
    </row>
    <row r="706" spans="1:9" ht="39" x14ac:dyDescent="0.25">
      <c r="A706" s="111"/>
      <c r="B706" s="111"/>
      <c r="C706" s="16"/>
      <c r="D706" s="16"/>
      <c r="E706" s="17" t="s">
        <v>292</v>
      </c>
      <c r="F706" s="18">
        <f t="shared" ref="F706:I706" si="185">F707+F708+F709</f>
        <v>0</v>
      </c>
      <c r="G706" s="18">
        <f t="shared" si="185"/>
        <v>440</v>
      </c>
      <c r="H706" s="18">
        <f t="shared" si="185"/>
        <v>0</v>
      </c>
      <c r="I706" s="18">
        <f t="shared" si="185"/>
        <v>0</v>
      </c>
    </row>
    <row r="707" spans="1:9" x14ac:dyDescent="0.25">
      <c r="A707" s="111"/>
      <c r="B707" s="111"/>
      <c r="C707" s="11"/>
      <c r="D707" s="11"/>
      <c r="E707" s="3" t="s">
        <v>227</v>
      </c>
      <c r="F707" s="78"/>
      <c r="G707" s="78">
        <v>0</v>
      </c>
      <c r="H707" s="78">
        <v>0</v>
      </c>
      <c r="I707" s="78">
        <v>0</v>
      </c>
    </row>
    <row r="708" spans="1:9" x14ac:dyDescent="0.25">
      <c r="A708" s="156"/>
      <c r="B708" s="156"/>
      <c r="C708" s="11"/>
      <c r="D708" s="11"/>
      <c r="E708" s="3" t="s">
        <v>224</v>
      </c>
      <c r="F708" s="78"/>
      <c r="G708" s="78">
        <v>0</v>
      </c>
      <c r="H708" s="78">
        <v>0</v>
      </c>
      <c r="I708" s="78">
        <v>0</v>
      </c>
    </row>
    <row r="709" spans="1:9" x14ac:dyDescent="0.25">
      <c r="A709" s="111"/>
      <c r="B709" s="111"/>
      <c r="C709" s="11"/>
      <c r="D709" s="11"/>
      <c r="E709" s="5" t="s">
        <v>172</v>
      </c>
      <c r="F709" s="78"/>
      <c r="G709" s="78">
        <v>440</v>
      </c>
      <c r="H709" s="78">
        <v>0</v>
      </c>
      <c r="I709" s="78">
        <v>0</v>
      </c>
    </row>
    <row r="710" spans="1:9" ht="39" x14ac:dyDescent="0.25">
      <c r="A710" s="111"/>
      <c r="B710" s="111"/>
      <c r="C710" s="16"/>
      <c r="D710" s="16"/>
      <c r="E710" s="17" t="s">
        <v>293</v>
      </c>
      <c r="F710" s="19" t="e">
        <f>#REF!</f>
        <v>#REF!</v>
      </c>
      <c r="G710" s="19">
        <v>0</v>
      </c>
      <c r="H710" s="19">
        <v>200</v>
      </c>
      <c r="I710" s="19">
        <v>0</v>
      </c>
    </row>
    <row r="711" spans="1:9" x14ac:dyDescent="0.25">
      <c r="A711" s="111"/>
      <c r="B711" s="111"/>
      <c r="C711" s="20"/>
      <c r="D711" s="11"/>
      <c r="E711" s="3" t="s">
        <v>227</v>
      </c>
      <c r="F711" s="78"/>
      <c r="G711" s="78">
        <v>0</v>
      </c>
      <c r="H711" s="78">
        <v>0</v>
      </c>
      <c r="I711" s="78">
        <v>0</v>
      </c>
    </row>
    <row r="712" spans="1:9" x14ac:dyDescent="0.25">
      <c r="A712" s="111"/>
      <c r="B712" s="111"/>
      <c r="C712" s="20"/>
      <c r="D712" s="11"/>
      <c r="E712" s="3" t="s">
        <v>224</v>
      </c>
      <c r="F712" s="78"/>
      <c r="G712" s="78">
        <v>0</v>
      </c>
      <c r="H712" s="78">
        <v>0</v>
      </c>
      <c r="I712" s="78">
        <v>0</v>
      </c>
    </row>
    <row r="713" spans="1:9" x14ac:dyDescent="0.25">
      <c r="A713" s="111"/>
      <c r="B713" s="111"/>
      <c r="C713" s="20"/>
      <c r="D713" s="11"/>
      <c r="E713" s="5" t="s">
        <v>172</v>
      </c>
      <c r="F713" s="78"/>
      <c r="G713" s="78">
        <v>0</v>
      </c>
      <c r="H713" s="78">
        <v>200</v>
      </c>
      <c r="I713" s="78">
        <v>0</v>
      </c>
    </row>
    <row r="714" spans="1:9" ht="26.25" x14ac:dyDescent="0.25">
      <c r="A714" s="111"/>
      <c r="B714" s="111"/>
      <c r="C714" s="11" t="s">
        <v>294</v>
      </c>
      <c r="D714" s="20"/>
      <c r="E714" s="21" t="s">
        <v>295</v>
      </c>
      <c r="F714" s="78"/>
      <c r="G714" s="78">
        <v>2428.1999999999998</v>
      </c>
      <c r="H714" s="78">
        <v>0</v>
      </c>
      <c r="I714" s="78">
        <v>0</v>
      </c>
    </row>
    <row r="715" spans="1:9" ht="26.25" x14ac:dyDescent="0.25">
      <c r="A715" s="111"/>
      <c r="B715" s="111"/>
      <c r="C715" s="11"/>
      <c r="D715" s="1" t="s">
        <v>658</v>
      </c>
      <c r="E715" s="2" t="s">
        <v>659</v>
      </c>
      <c r="F715" s="78"/>
      <c r="G715" s="78">
        <v>2428.1999999999998</v>
      </c>
      <c r="H715" s="78">
        <v>0</v>
      </c>
      <c r="I715" s="78">
        <v>0</v>
      </c>
    </row>
    <row r="716" spans="1:9" x14ac:dyDescent="0.25">
      <c r="A716" s="110"/>
      <c r="B716" s="27" t="s">
        <v>750</v>
      </c>
      <c r="C716" s="116"/>
      <c r="D716" s="115"/>
      <c r="E716" s="117" t="s">
        <v>751</v>
      </c>
      <c r="F716" s="78"/>
      <c r="G716" s="157">
        <f>G717</f>
        <v>5229.3999999999996</v>
      </c>
      <c r="H716" s="157">
        <f t="shared" ref="H716:I720" si="186">H717</f>
        <v>5229.3999999999996</v>
      </c>
      <c r="I716" s="157">
        <f t="shared" si="186"/>
        <v>5229.3999999999996</v>
      </c>
    </row>
    <row r="717" spans="1:9" ht="25.5" x14ac:dyDescent="0.25">
      <c r="A717" s="110"/>
      <c r="B717" s="27"/>
      <c r="C717" s="116" t="s">
        <v>6</v>
      </c>
      <c r="D717" s="115"/>
      <c r="E717" s="122" t="s">
        <v>7</v>
      </c>
      <c r="F717" s="78"/>
      <c r="G717" s="157">
        <f>G718+G724</f>
        <v>5229.3999999999996</v>
      </c>
      <c r="H717" s="157">
        <f t="shared" ref="H717:I717" si="187">H718+H724</f>
        <v>5229.3999999999996</v>
      </c>
      <c r="I717" s="157">
        <f t="shared" si="187"/>
        <v>5229.3999999999996</v>
      </c>
    </row>
    <row r="718" spans="1:9" ht="25.5" x14ac:dyDescent="0.25">
      <c r="A718" s="152"/>
      <c r="B718" s="130"/>
      <c r="C718" s="131" t="s">
        <v>8</v>
      </c>
      <c r="D718" s="130"/>
      <c r="E718" s="132" t="s">
        <v>9</v>
      </c>
      <c r="F718" s="78"/>
      <c r="G718" s="147">
        <f>G719</f>
        <v>3684.4</v>
      </c>
      <c r="H718" s="147">
        <f t="shared" si="186"/>
        <v>3684.4</v>
      </c>
      <c r="I718" s="147">
        <f t="shared" si="186"/>
        <v>3684.4</v>
      </c>
    </row>
    <row r="719" spans="1:9" ht="39" x14ac:dyDescent="0.25">
      <c r="A719" s="49"/>
      <c r="B719" s="49"/>
      <c r="C719" s="49" t="s">
        <v>25</v>
      </c>
      <c r="D719" s="49"/>
      <c r="E719" s="50" t="s">
        <v>752</v>
      </c>
      <c r="F719" s="51"/>
      <c r="G719" s="51">
        <f>G720</f>
        <v>3684.4</v>
      </c>
      <c r="H719" s="51">
        <f t="shared" si="186"/>
        <v>3684.4</v>
      </c>
      <c r="I719" s="51">
        <f t="shared" si="186"/>
        <v>3684.4</v>
      </c>
    </row>
    <row r="720" spans="1:9" ht="39" x14ac:dyDescent="0.25">
      <c r="A720" s="52"/>
      <c r="B720" s="52"/>
      <c r="C720" s="52" t="s">
        <v>27</v>
      </c>
      <c r="D720" s="56"/>
      <c r="E720" s="53" t="s">
        <v>28</v>
      </c>
      <c r="F720" s="25"/>
      <c r="G720" s="25">
        <f>G721</f>
        <v>3684.4</v>
      </c>
      <c r="H720" s="25">
        <f t="shared" si="186"/>
        <v>3684.4</v>
      </c>
      <c r="I720" s="25">
        <f t="shared" si="186"/>
        <v>3684.4</v>
      </c>
    </row>
    <row r="721" spans="1:15" ht="25.5" x14ac:dyDescent="0.25">
      <c r="A721" s="110"/>
      <c r="B721" s="26"/>
      <c r="C721" s="123" t="s">
        <v>31</v>
      </c>
      <c r="D721" s="26"/>
      <c r="E721" s="3" t="s">
        <v>32</v>
      </c>
      <c r="F721" s="78"/>
      <c r="G721" s="78">
        <f>G722+G723</f>
        <v>3684.4</v>
      </c>
      <c r="H721" s="78">
        <f t="shared" ref="H721:I721" si="188">H722+H723</f>
        <v>3684.4</v>
      </c>
      <c r="I721" s="78">
        <f t="shared" si="188"/>
        <v>3684.4</v>
      </c>
    </row>
    <row r="722" spans="1:15" ht="51.75" x14ac:dyDescent="0.25">
      <c r="A722" s="110"/>
      <c r="B722" s="26"/>
      <c r="C722" s="123"/>
      <c r="D722" s="26" t="s">
        <v>535</v>
      </c>
      <c r="E722" s="5" t="s">
        <v>536</v>
      </c>
      <c r="F722" s="78"/>
      <c r="G722" s="78">
        <v>3546</v>
      </c>
      <c r="H722" s="78">
        <v>3546</v>
      </c>
      <c r="I722" s="78">
        <v>3546</v>
      </c>
    </row>
    <row r="723" spans="1:15" ht="25.5" x14ac:dyDescent="0.25">
      <c r="A723" s="110"/>
      <c r="B723" s="26"/>
      <c r="C723" s="123"/>
      <c r="D723" s="26" t="s">
        <v>344</v>
      </c>
      <c r="E723" s="12" t="s">
        <v>345</v>
      </c>
      <c r="F723" s="22"/>
      <c r="G723" s="22">
        <v>138.4</v>
      </c>
      <c r="H723" s="22">
        <v>138.4</v>
      </c>
      <c r="I723" s="22">
        <v>138.4</v>
      </c>
      <c r="J723" s="59"/>
      <c r="K723" s="59"/>
      <c r="L723" s="59"/>
      <c r="M723" s="59"/>
      <c r="N723" s="59"/>
      <c r="O723" s="59"/>
    </row>
    <row r="724" spans="1:15" ht="38.25" x14ac:dyDescent="0.25">
      <c r="A724" s="129"/>
      <c r="B724" s="130"/>
      <c r="C724" s="131" t="s">
        <v>256</v>
      </c>
      <c r="D724" s="130"/>
      <c r="E724" s="132" t="s">
        <v>257</v>
      </c>
      <c r="F724" s="22" t="e">
        <f>F725+F713+#REF!</f>
        <v>#REF!</v>
      </c>
      <c r="G724" s="147">
        <f>G725</f>
        <v>1545</v>
      </c>
      <c r="H724" s="147">
        <f t="shared" ref="H724:I724" si="189">H725</f>
        <v>1545</v>
      </c>
      <c r="I724" s="147">
        <f t="shared" si="189"/>
        <v>1545</v>
      </c>
    </row>
    <row r="725" spans="1:15" ht="26.25" x14ac:dyDescent="0.25">
      <c r="A725" s="49"/>
      <c r="B725" s="49"/>
      <c r="C725" s="49" t="s">
        <v>258</v>
      </c>
      <c r="D725" s="49"/>
      <c r="E725" s="50" t="s">
        <v>259</v>
      </c>
      <c r="F725" s="51" t="e">
        <f>F726+F729+F757+F702+#REF!+#REF!+F760</f>
        <v>#REF!</v>
      </c>
      <c r="G725" s="51">
        <f>G726+G731</f>
        <v>1545</v>
      </c>
      <c r="H725" s="51">
        <f t="shared" ref="H725:I725" si="190">H726+H731</f>
        <v>1545</v>
      </c>
      <c r="I725" s="51">
        <f t="shared" si="190"/>
        <v>1545</v>
      </c>
    </row>
    <row r="726" spans="1:15" ht="26.25" x14ac:dyDescent="0.25">
      <c r="A726" s="52"/>
      <c r="B726" s="52"/>
      <c r="C726" s="52" t="s">
        <v>274</v>
      </c>
      <c r="D726" s="56"/>
      <c r="E726" s="53" t="s">
        <v>275</v>
      </c>
      <c r="F726" s="25" t="e">
        <f>F727+F729</f>
        <v>#REF!</v>
      </c>
      <c r="G726" s="25">
        <f>G727+G729</f>
        <v>1465</v>
      </c>
      <c r="H726" s="25">
        <f>H727+H729</f>
        <v>1465</v>
      </c>
      <c r="I726" s="25">
        <f>I727+I729</f>
        <v>1465</v>
      </c>
    </row>
    <row r="727" spans="1:15" ht="64.5" x14ac:dyDescent="0.25">
      <c r="A727" s="11"/>
      <c r="B727" s="11"/>
      <c r="C727" s="11" t="s">
        <v>276</v>
      </c>
      <c r="D727" s="11"/>
      <c r="E727" s="5" t="s">
        <v>277</v>
      </c>
      <c r="F727" s="22" t="e">
        <f>#REF!</f>
        <v>#REF!</v>
      </c>
      <c r="G727" s="22">
        <v>875</v>
      </c>
      <c r="H727" s="22">
        <v>875</v>
      </c>
      <c r="I727" s="22">
        <v>875</v>
      </c>
    </row>
    <row r="728" spans="1:15" ht="26.25" x14ac:dyDescent="0.25">
      <c r="A728" s="11"/>
      <c r="B728" s="11"/>
      <c r="C728" s="11"/>
      <c r="D728" s="1" t="s">
        <v>658</v>
      </c>
      <c r="E728" s="2" t="s">
        <v>659</v>
      </c>
      <c r="F728" s="22"/>
      <c r="G728" s="22">
        <v>875</v>
      </c>
      <c r="H728" s="22">
        <v>875</v>
      </c>
      <c r="I728" s="22">
        <v>875</v>
      </c>
    </row>
    <row r="729" spans="1:15" ht="51.75" x14ac:dyDescent="0.25">
      <c r="A729" s="11"/>
      <c r="B729" s="11"/>
      <c r="C729" s="11" t="s">
        <v>278</v>
      </c>
      <c r="D729" s="11"/>
      <c r="E729" s="5" t="s">
        <v>279</v>
      </c>
      <c r="F729" s="22" t="e">
        <f>#REF!</f>
        <v>#REF!</v>
      </c>
      <c r="G729" s="22">
        <v>590</v>
      </c>
      <c r="H729" s="22">
        <v>590</v>
      </c>
      <c r="I729" s="22">
        <v>590</v>
      </c>
    </row>
    <row r="730" spans="1:15" s="79" customFormat="1" ht="26.25" x14ac:dyDescent="0.25">
      <c r="A730" s="11"/>
      <c r="B730" s="11"/>
      <c r="C730" s="11"/>
      <c r="D730" s="1" t="s">
        <v>658</v>
      </c>
      <c r="E730" s="2" t="s">
        <v>659</v>
      </c>
      <c r="F730" s="22"/>
      <c r="G730" s="22">
        <v>590</v>
      </c>
      <c r="H730" s="22">
        <v>590</v>
      </c>
      <c r="I730" s="22">
        <v>590</v>
      </c>
    </row>
    <row r="731" spans="1:15" x14ac:dyDescent="0.25">
      <c r="A731" s="52"/>
      <c r="B731" s="52"/>
      <c r="C731" s="52" t="s">
        <v>280</v>
      </c>
      <c r="D731" s="56"/>
      <c r="E731" s="53" t="s">
        <v>281</v>
      </c>
      <c r="F731" s="25" t="e">
        <f>F732+#REF!</f>
        <v>#REF!</v>
      </c>
      <c r="G731" s="25">
        <f>G732</f>
        <v>80</v>
      </c>
      <c r="H731" s="25">
        <f t="shared" ref="H731:I731" si="191">H732</f>
        <v>80</v>
      </c>
      <c r="I731" s="25">
        <f t="shared" si="191"/>
        <v>80</v>
      </c>
    </row>
    <row r="732" spans="1:15" ht="26.25" x14ac:dyDescent="0.25">
      <c r="A732" s="11"/>
      <c r="B732" s="11"/>
      <c r="C732" s="11" t="s">
        <v>282</v>
      </c>
      <c r="D732" s="11"/>
      <c r="E732" s="5" t="s">
        <v>606</v>
      </c>
      <c r="F732" s="22" t="e">
        <f>#REF!</f>
        <v>#REF!</v>
      </c>
      <c r="G732" s="22">
        <v>80</v>
      </c>
      <c r="H732" s="22">
        <v>80</v>
      </c>
      <c r="I732" s="22">
        <v>80</v>
      </c>
    </row>
    <row r="733" spans="1:15" ht="26.25" x14ac:dyDescent="0.25">
      <c r="A733" s="11"/>
      <c r="B733" s="11"/>
      <c r="C733" s="11"/>
      <c r="D733" s="1" t="s">
        <v>658</v>
      </c>
      <c r="E733" s="2" t="s">
        <v>659</v>
      </c>
      <c r="F733" s="22"/>
      <c r="G733" s="22">
        <v>80</v>
      </c>
      <c r="H733" s="22">
        <v>80</v>
      </c>
      <c r="I733" s="22">
        <v>80</v>
      </c>
    </row>
    <row r="734" spans="1:15" x14ac:dyDescent="0.25">
      <c r="A734" s="110"/>
      <c r="B734" s="27">
        <v>1000</v>
      </c>
      <c r="C734" s="116"/>
      <c r="D734" s="115"/>
      <c r="E734" s="117" t="s">
        <v>722</v>
      </c>
      <c r="F734" s="22"/>
      <c r="G734" s="45">
        <f>G735</f>
        <v>425</v>
      </c>
      <c r="H734" s="45">
        <f t="shared" ref="H734:I738" si="192">H735</f>
        <v>348.9</v>
      </c>
      <c r="I734" s="45">
        <f t="shared" si="192"/>
        <v>348.9</v>
      </c>
    </row>
    <row r="735" spans="1:15" x14ac:dyDescent="0.25">
      <c r="A735" s="115"/>
      <c r="B735" s="27">
        <v>1003</v>
      </c>
      <c r="C735" s="116"/>
      <c r="D735" s="115"/>
      <c r="E735" s="117" t="s">
        <v>726</v>
      </c>
      <c r="F735" s="22"/>
      <c r="G735" s="45">
        <f>G736</f>
        <v>425</v>
      </c>
      <c r="H735" s="45">
        <f t="shared" si="192"/>
        <v>348.9</v>
      </c>
      <c r="I735" s="45">
        <f t="shared" si="192"/>
        <v>348.9</v>
      </c>
    </row>
    <row r="736" spans="1:15" ht="25.5" x14ac:dyDescent="0.25">
      <c r="A736" s="154"/>
      <c r="B736" s="27"/>
      <c r="C736" s="116" t="s">
        <v>6</v>
      </c>
      <c r="D736" s="115"/>
      <c r="E736" s="122" t="s">
        <v>7</v>
      </c>
      <c r="F736" s="22"/>
      <c r="G736" s="45">
        <f>G737</f>
        <v>425</v>
      </c>
      <c r="H736" s="45">
        <f t="shared" si="192"/>
        <v>348.9</v>
      </c>
      <c r="I736" s="45">
        <f t="shared" si="192"/>
        <v>348.9</v>
      </c>
    </row>
    <row r="737" spans="1:9" ht="25.5" x14ac:dyDescent="0.25">
      <c r="A737" s="129"/>
      <c r="B737" s="130"/>
      <c r="C737" s="131" t="s">
        <v>65</v>
      </c>
      <c r="D737" s="130"/>
      <c r="E737" s="132" t="s">
        <v>66</v>
      </c>
      <c r="F737" s="22"/>
      <c r="G737" s="147">
        <f>G738</f>
        <v>425</v>
      </c>
      <c r="H737" s="147">
        <f t="shared" si="192"/>
        <v>348.9</v>
      </c>
      <c r="I737" s="147">
        <f t="shared" si="192"/>
        <v>348.9</v>
      </c>
    </row>
    <row r="738" spans="1:9" x14ac:dyDescent="0.25">
      <c r="A738" s="49"/>
      <c r="B738" s="49"/>
      <c r="C738" s="49" t="s">
        <v>149</v>
      </c>
      <c r="D738" s="49"/>
      <c r="E738" s="50" t="s">
        <v>150</v>
      </c>
      <c r="F738" s="51"/>
      <c r="G738" s="51">
        <f>G739</f>
        <v>425</v>
      </c>
      <c r="H738" s="51">
        <f t="shared" si="192"/>
        <v>348.9</v>
      </c>
      <c r="I738" s="51">
        <f t="shared" si="192"/>
        <v>348.9</v>
      </c>
    </row>
    <row r="739" spans="1:9" ht="26.25" x14ac:dyDescent="0.25">
      <c r="A739" s="52"/>
      <c r="B739" s="52"/>
      <c r="C739" s="52" t="s">
        <v>157</v>
      </c>
      <c r="D739" s="56"/>
      <c r="E739" s="53" t="s">
        <v>158</v>
      </c>
      <c r="F739" s="25"/>
      <c r="G739" s="25">
        <f>G740+G743</f>
        <v>425</v>
      </c>
      <c r="H739" s="25">
        <f t="shared" ref="H739:I739" si="193">H740+H743</f>
        <v>348.9</v>
      </c>
      <c r="I739" s="25">
        <f t="shared" si="193"/>
        <v>348.9</v>
      </c>
    </row>
    <row r="740" spans="1:9" ht="51" x14ac:dyDescent="0.25">
      <c r="A740" s="154"/>
      <c r="B740" s="26"/>
      <c r="C740" s="123" t="s">
        <v>161</v>
      </c>
      <c r="D740" s="26"/>
      <c r="E740" s="3" t="s">
        <v>753</v>
      </c>
      <c r="F740" s="22"/>
      <c r="G740" s="22">
        <f>SUM(G741:G742)</f>
        <v>379.6</v>
      </c>
      <c r="H740" s="22">
        <f t="shared" ref="H740:I740" si="194">SUM(H741:H742)</f>
        <v>348.9</v>
      </c>
      <c r="I740" s="22">
        <f t="shared" si="194"/>
        <v>348.9</v>
      </c>
    </row>
    <row r="741" spans="1:9" x14ac:dyDescent="0.25">
      <c r="A741" s="154"/>
      <c r="B741" s="26"/>
      <c r="C741" s="123"/>
      <c r="D741" s="26" t="s">
        <v>564</v>
      </c>
      <c r="E741" s="2" t="s">
        <v>565</v>
      </c>
      <c r="F741" s="22"/>
      <c r="G741" s="22">
        <v>0</v>
      </c>
      <c r="H741" s="22">
        <v>22.7</v>
      </c>
      <c r="I741" s="22">
        <v>22.7</v>
      </c>
    </row>
    <row r="742" spans="1:9" ht="25.5" x14ac:dyDescent="0.25">
      <c r="A742" s="154"/>
      <c r="B742" s="26"/>
      <c r="C742" s="123"/>
      <c r="D742" s="26" t="s">
        <v>658</v>
      </c>
      <c r="E742" s="12" t="s">
        <v>659</v>
      </c>
      <c r="F742" s="22"/>
      <c r="G742" s="22">
        <v>379.6</v>
      </c>
      <c r="H742" s="22">
        <v>326.2</v>
      </c>
      <c r="I742" s="22">
        <v>326.2</v>
      </c>
    </row>
    <row r="743" spans="1:9" ht="25.5" x14ac:dyDescent="0.25">
      <c r="A743" s="115"/>
      <c r="B743" s="26"/>
      <c r="C743" s="123" t="s">
        <v>163</v>
      </c>
      <c r="D743" s="26"/>
      <c r="E743" s="3" t="s">
        <v>164</v>
      </c>
      <c r="F743" s="22"/>
      <c r="G743" s="22">
        <f>G744</f>
        <v>45.4</v>
      </c>
      <c r="H743" s="22">
        <v>0</v>
      </c>
      <c r="I743" s="22">
        <v>0</v>
      </c>
    </row>
    <row r="744" spans="1:9" ht="25.5" x14ac:dyDescent="0.25">
      <c r="A744" s="110"/>
      <c r="B744" s="26"/>
      <c r="C744" s="123"/>
      <c r="D744" s="26" t="s">
        <v>344</v>
      </c>
      <c r="E744" s="12" t="s">
        <v>345</v>
      </c>
      <c r="F744" s="22"/>
      <c r="G744" s="22">
        <f>G745+G746</f>
        <v>45.4</v>
      </c>
      <c r="H744" s="22">
        <v>0</v>
      </c>
      <c r="I744" s="22">
        <v>0</v>
      </c>
    </row>
    <row r="745" spans="1:9" x14ac:dyDescent="0.25">
      <c r="A745" s="110"/>
      <c r="B745" s="26"/>
      <c r="C745" s="123"/>
      <c r="D745" s="26"/>
      <c r="E745" s="3" t="s">
        <v>95</v>
      </c>
      <c r="F745" s="22"/>
      <c r="G745" s="22">
        <v>30.3</v>
      </c>
      <c r="H745" s="22">
        <v>0</v>
      </c>
      <c r="I745" s="22">
        <v>0</v>
      </c>
    </row>
    <row r="746" spans="1:9" x14ac:dyDescent="0.25">
      <c r="A746" s="115"/>
      <c r="B746" s="26"/>
      <c r="C746" s="123"/>
      <c r="D746" s="26"/>
      <c r="E746" s="3" t="s">
        <v>96</v>
      </c>
      <c r="F746" s="22"/>
      <c r="G746" s="22">
        <v>15.1</v>
      </c>
      <c r="H746" s="22">
        <v>0</v>
      </c>
      <c r="I746" s="22">
        <v>0</v>
      </c>
    </row>
    <row r="747" spans="1:9" x14ac:dyDescent="0.25">
      <c r="A747" s="154"/>
      <c r="B747" s="27">
        <v>1100</v>
      </c>
      <c r="C747" s="116"/>
      <c r="D747" s="115"/>
      <c r="E747" s="117" t="s">
        <v>741</v>
      </c>
      <c r="F747" s="22"/>
      <c r="G747" s="45">
        <f t="shared" ref="G747:I750" si="195">G748</f>
        <v>66</v>
      </c>
      <c r="H747" s="45">
        <f t="shared" si="195"/>
        <v>66</v>
      </c>
      <c r="I747" s="45">
        <f t="shared" si="195"/>
        <v>66</v>
      </c>
    </row>
    <row r="748" spans="1:9" x14ac:dyDescent="0.25">
      <c r="A748" s="154"/>
      <c r="B748" s="27" t="s">
        <v>742</v>
      </c>
      <c r="C748" s="116"/>
      <c r="D748" s="27"/>
      <c r="E748" s="122" t="s">
        <v>743</v>
      </c>
      <c r="F748" s="22"/>
      <c r="G748" s="45">
        <f t="shared" si="195"/>
        <v>66</v>
      </c>
      <c r="H748" s="45">
        <f t="shared" si="195"/>
        <v>66</v>
      </c>
      <c r="I748" s="45">
        <f t="shared" si="195"/>
        <v>66</v>
      </c>
    </row>
    <row r="749" spans="1:9" ht="25.5" x14ac:dyDescent="0.25">
      <c r="A749" s="154"/>
      <c r="B749" s="27"/>
      <c r="C749" s="116" t="s">
        <v>6</v>
      </c>
      <c r="D749" s="27"/>
      <c r="E749" s="122" t="s">
        <v>7</v>
      </c>
      <c r="F749" s="22"/>
      <c r="G749" s="45">
        <f t="shared" si="195"/>
        <v>66</v>
      </c>
      <c r="H749" s="45">
        <f t="shared" si="195"/>
        <v>66</v>
      </c>
      <c r="I749" s="45">
        <f t="shared" si="195"/>
        <v>66</v>
      </c>
    </row>
    <row r="750" spans="1:9" ht="25.5" x14ac:dyDescent="0.25">
      <c r="A750" s="129"/>
      <c r="B750" s="130"/>
      <c r="C750" s="131" t="s">
        <v>314</v>
      </c>
      <c r="D750" s="130"/>
      <c r="E750" s="132" t="s">
        <v>315</v>
      </c>
      <c r="F750" s="22"/>
      <c r="G750" s="147">
        <f t="shared" si="195"/>
        <v>66</v>
      </c>
      <c r="H750" s="147">
        <f t="shared" si="195"/>
        <v>66</v>
      </c>
      <c r="I750" s="147">
        <f t="shared" si="195"/>
        <v>66</v>
      </c>
    </row>
    <row r="751" spans="1:9" ht="39" x14ac:dyDescent="0.25">
      <c r="A751" s="52"/>
      <c r="B751" s="52"/>
      <c r="C751" s="52" t="s">
        <v>316</v>
      </c>
      <c r="D751" s="52"/>
      <c r="E751" s="53" t="s">
        <v>317</v>
      </c>
      <c r="F751" s="25" t="e">
        <f t="shared" ref="F751:I752" si="196">F752</f>
        <v>#REF!</v>
      </c>
      <c r="G751" s="25">
        <f t="shared" si="196"/>
        <v>66</v>
      </c>
      <c r="H751" s="25">
        <f t="shared" si="196"/>
        <v>66</v>
      </c>
      <c r="I751" s="25">
        <f t="shared" si="196"/>
        <v>66</v>
      </c>
    </row>
    <row r="752" spans="1:9" ht="53.25" customHeight="1" x14ac:dyDescent="0.25">
      <c r="A752" s="111"/>
      <c r="B752" s="111"/>
      <c r="C752" s="11" t="s">
        <v>318</v>
      </c>
      <c r="D752" s="11"/>
      <c r="E752" s="5" t="s">
        <v>319</v>
      </c>
      <c r="F752" s="22" t="e">
        <f>#REF!</f>
        <v>#REF!</v>
      </c>
      <c r="G752" s="22">
        <f>G753</f>
        <v>66</v>
      </c>
      <c r="H752" s="22">
        <f t="shared" si="196"/>
        <v>66</v>
      </c>
      <c r="I752" s="22">
        <f t="shared" si="196"/>
        <v>66</v>
      </c>
    </row>
    <row r="753" spans="1:15" ht="26.25" x14ac:dyDescent="0.25">
      <c r="A753" s="111"/>
      <c r="B753" s="111"/>
      <c r="C753" s="11"/>
      <c r="D753" s="1" t="s">
        <v>658</v>
      </c>
      <c r="E753" s="2" t="s">
        <v>659</v>
      </c>
      <c r="F753" s="22"/>
      <c r="G753" s="22">
        <v>66</v>
      </c>
      <c r="H753" s="22">
        <v>66</v>
      </c>
      <c r="I753" s="22">
        <v>66</v>
      </c>
    </row>
    <row r="754" spans="1:15" x14ac:dyDescent="0.25">
      <c r="A754" s="154"/>
      <c r="B754" s="27">
        <v>1200</v>
      </c>
      <c r="C754" s="116"/>
      <c r="D754" s="115"/>
      <c r="E754" s="117" t="s">
        <v>754</v>
      </c>
      <c r="F754" s="22"/>
      <c r="G754" s="45">
        <f>G755</f>
        <v>1368.8</v>
      </c>
      <c r="H754" s="45">
        <f t="shared" ref="H754:I757" si="197">H755</f>
        <v>1368.8</v>
      </c>
      <c r="I754" s="45">
        <f t="shared" si="197"/>
        <v>1368.8</v>
      </c>
    </row>
    <row r="755" spans="1:15" x14ac:dyDescent="0.25">
      <c r="A755" s="115"/>
      <c r="B755" s="27">
        <v>1202</v>
      </c>
      <c r="C755" s="116"/>
      <c r="D755" s="115"/>
      <c r="E755" s="117" t="s">
        <v>755</v>
      </c>
      <c r="F755" s="22"/>
      <c r="G755" s="45">
        <f>G756</f>
        <v>1368.8</v>
      </c>
      <c r="H755" s="45">
        <f t="shared" si="197"/>
        <v>1368.8</v>
      </c>
      <c r="I755" s="45">
        <f t="shared" si="197"/>
        <v>1368.8</v>
      </c>
    </row>
    <row r="756" spans="1:15" ht="25.5" x14ac:dyDescent="0.25">
      <c r="A756" s="115"/>
      <c r="B756" s="27"/>
      <c r="C756" s="116" t="s">
        <v>6</v>
      </c>
      <c r="D756" s="115"/>
      <c r="E756" s="122" t="s">
        <v>7</v>
      </c>
      <c r="F756" s="22"/>
      <c r="G756" s="45">
        <f>G757</f>
        <v>1368.8</v>
      </c>
      <c r="H756" s="45">
        <f t="shared" si="197"/>
        <v>1368.8</v>
      </c>
      <c r="I756" s="45">
        <f t="shared" si="197"/>
        <v>1368.8</v>
      </c>
    </row>
    <row r="757" spans="1:15" ht="38.25" x14ac:dyDescent="0.25">
      <c r="A757" s="152"/>
      <c r="B757" s="130"/>
      <c r="C757" s="131" t="s">
        <v>256</v>
      </c>
      <c r="D757" s="130"/>
      <c r="E757" s="132" t="s">
        <v>257</v>
      </c>
      <c r="F757" s="57"/>
      <c r="G757" s="147">
        <f>G758</f>
        <v>1368.8</v>
      </c>
      <c r="H757" s="147">
        <f t="shared" si="197"/>
        <v>1368.8</v>
      </c>
      <c r="I757" s="147">
        <f t="shared" si="197"/>
        <v>1368.8</v>
      </c>
      <c r="J757" s="59"/>
      <c r="K757" s="59"/>
      <c r="L757" s="59"/>
      <c r="M757" s="59"/>
      <c r="N757" s="59"/>
      <c r="O757" s="59"/>
    </row>
    <row r="758" spans="1:15" x14ac:dyDescent="0.25">
      <c r="A758" s="49"/>
      <c r="B758" s="49"/>
      <c r="C758" s="49" t="s">
        <v>309</v>
      </c>
      <c r="D758" s="49"/>
      <c r="E758" s="50" t="s">
        <v>310</v>
      </c>
      <c r="F758" s="51" t="e">
        <f t="shared" ref="F758:I759" si="198">F759</f>
        <v>#REF!</v>
      </c>
      <c r="G758" s="51">
        <f t="shared" si="198"/>
        <v>1368.8</v>
      </c>
      <c r="H758" s="51">
        <f t="shared" si="198"/>
        <v>1368.8</v>
      </c>
      <c r="I758" s="51">
        <f t="shared" si="198"/>
        <v>1368.8</v>
      </c>
    </row>
    <row r="759" spans="1:15" ht="51.75" x14ac:dyDescent="0.25">
      <c r="A759" s="52"/>
      <c r="B759" s="52"/>
      <c r="C759" s="52" t="s">
        <v>311</v>
      </c>
      <c r="D759" s="52"/>
      <c r="E759" s="53" t="s">
        <v>312</v>
      </c>
      <c r="F759" s="25" t="e">
        <f t="shared" si="198"/>
        <v>#REF!</v>
      </c>
      <c r="G759" s="25">
        <f t="shared" si="198"/>
        <v>1368.8</v>
      </c>
      <c r="H759" s="25">
        <f t="shared" si="198"/>
        <v>1368.8</v>
      </c>
      <c r="I759" s="25">
        <f t="shared" si="198"/>
        <v>1368.8</v>
      </c>
    </row>
    <row r="760" spans="1:15" ht="26.25" x14ac:dyDescent="0.25">
      <c r="A760" s="111"/>
      <c r="B760" s="111"/>
      <c r="C760" s="11" t="s">
        <v>313</v>
      </c>
      <c r="D760" s="11"/>
      <c r="E760" s="5" t="s">
        <v>1385</v>
      </c>
      <c r="F760" s="22" t="e">
        <f>#REF!</f>
        <v>#REF!</v>
      </c>
      <c r="G760" s="22">
        <f>1396.2-27.4</f>
        <v>1368.8</v>
      </c>
      <c r="H760" s="22">
        <f>1452-83.2</f>
        <v>1368.8</v>
      </c>
      <c r="I760" s="22">
        <f>1510.1-141.3</f>
        <v>1368.8</v>
      </c>
    </row>
    <row r="761" spans="1:15" ht="26.25" x14ac:dyDescent="0.25">
      <c r="A761" s="111"/>
      <c r="B761" s="111"/>
      <c r="C761" s="11"/>
      <c r="D761" s="1" t="s">
        <v>658</v>
      </c>
      <c r="E761" s="2" t="s">
        <v>659</v>
      </c>
      <c r="F761" s="22"/>
      <c r="G761" s="22">
        <f>1396.2-27.4</f>
        <v>1368.8</v>
      </c>
      <c r="H761" s="22">
        <f>1452-83.2</f>
        <v>1368.8</v>
      </c>
      <c r="I761" s="22">
        <f>1510.1-141.3</f>
        <v>1368.8</v>
      </c>
    </row>
    <row r="762" spans="1:15" x14ac:dyDescent="0.25">
      <c r="A762" s="113">
        <v>636</v>
      </c>
      <c r="B762" s="150"/>
      <c r="C762" s="151"/>
      <c r="D762" s="113"/>
      <c r="E762" s="114" t="s">
        <v>756</v>
      </c>
      <c r="F762" s="22"/>
      <c r="G762" s="96">
        <f>G763</f>
        <v>2818.8</v>
      </c>
      <c r="H762" s="96">
        <f t="shared" ref="H762:I764" si="199">H763</f>
        <v>2803.8</v>
      </c>
      <c r="I762" s="96">
        <f t="shared" si="199"/>
        <v>2803.8</v>
      </c>
    </row>
    <row r="763" spans="1:15" x14ac:dyDescent="0.25">
      <c r="A763" s="110"/>
      <c r="B763" s="27" t="s">
        <v>666</v>
      </c>
      <c r="C763" s="116"/>
      <c r="D763" s="115"/>
      <c r="E763" s="117" t="s">
        <v>1388</v>
      </c>
      <c r="F763" s="22"/>
      <c r="G763" s="45">
        <f>G764</f>
        <v>2818.8</v>
      </c>
      <c r="H763" s="45">
        <f t="shared" si="199"/>
        <v>2803.8</v>
      </c>
      <c r="I763" s="45">
        <f t="shared" si="199"/>
        <v>2803.8</v>
      </c>
    </row>
    <row r="764" spans="1:15" ht="38.25" x14ac:dyDescent="0.25">
      <c r="A764" s="110"/>
      <c r="B764" s="27" t="s">
        <v>757</v>
      </c>
      <c r="C764" s="116"/>
      <c r="D764" s="27"/>
      <c r="E764" s="122" t="s">
        <v>758</v>
      </c>
      <c r="F764" s="22"/>
      <c r="G764" s="45">
        <f>G765</f>
        <v>2818.8</v>
      </c>
      <c r="H764" s="45">
        <f t="shared" si="199"/>
        <v>2803.8</v>
      </c>
      <c r="I764" s="45">
        <f t="shared" si="199"/>
        <v>2803.8</v>
      </c>
    </row>
    <row r="765" spans="1:15" x14ac:dyDescent="0.25">
      <c r="A765" s="110"/>
      <c r="B765" s="26"/>
      <c r="C765" s="116" t="s">
        <v>671</v>
      </c>
      <c r="D765" s="27"/>
      <c r="E765" s="122" t="s">
        <v>672</v>
      </c>
      <c r="F765" s="22"/>
      <c r="G765" s="45">
        <f>G766+G774</f>
        <v>2818.8</v>
      </c>
      <c r="H765" s="45">
        <f t="shared" ref="H765:I765" si="200">H766+H774</f>
        <v>2803.8</v>
      </c>
      <c r="I765" s="45">
        <f t="shared" si="200"/>
        <v>2803.8</v>
      </c>
    </row>
    <row r="766" spans="1:15" s="62" customFormat="1" ht="26.25" x14ac:dyDescent="0.25">
      <c r="A766" s="112"/>
      <c r="B766" s="112"/>
      <c r="C766" s="116" t="s">
        <v>532</v>
      </c>
      <c r="D766" s="11"/>
      <c r="E766" s="118" t="s">
        <v>533</v>
      </c>
      <c r="F766" s="45" t="e">
        <f>F767+F769+#REF!</f>
        <v>#REF!</v>
      </c>
      <c r="G766" s="45">
        <f>G767+G769+G772</f>
        <v>2718.8</v>
      </c>
      <c r="H766" s="45">
        <f t="shared" ref="H766:I766" si="201">H767+H769</f>
        <v>2703.8</v>
      </c>
      <c r="I766" s="45">
        <f t="shared" si="201"/>
        <v>2703.8</v>
      </c>
    </row>
    <row r="767" spans="1:15" ht="26.25" x14ac:dyDescent="0.25">
      <c r="A767" s="111"/>
      <c r="B767" s="111"/>
      <c r="C767" s="11" t="s">
        <v>534</v>
      </c>
      <c r="D767" s="11"/>
      <c r="E767" s="5" t="s">
        <v>1403</v>
      </c>
      <c r="F767" s="22">
        <v>1164</v>
      </c>
      <c r="G767" s="22">
        <v>1164</v>
      </c>
      <c r="H767" s="22">
        <v>1164</v>
      </c>
      <c r="I767" s="22">
        <v>1164</v>
      </c>
    </row>
    <row r="768" spans="1:15" ht="51.75" x14ac:dyDescent="0.25">
      <c r="A768" s="111"/>
      <c r="B768" s="111"/>
      <c r="C768" s="11"/>
      <c r="D768" s="11" t="s">
        <v>535</v>
      </c>
      <c r="E768" s="5" t="s">
        <v>536</v>
      </c>
      <c r="F768" s="22">
        <v>1164</v>
      </c>
      <c r="G768" s="22">
        <v>1164</v>
      </c>
      <c r="H768" s="22">
        <v>1164</v>
      </c>
      <c r="I768" s="22">
        <v>1164</v>
      </c>
    </row>
    <row r="769" spans="1:11" ht="26.25" x14ac:dyDescent="0.25">
      <c r="A769" s="111"/>
      <c r="B769" s="111"/>
      <c r="C769" s="11" t="s">
        <v>537</v>
      </c>
      <c r="D769" s="11"/>
      <c r="E769" s="5" t="s">
        <v>538</v>
      </c>
      <c r="F769" s="22" t="e">
        <f>F770+#REF!</f>
        <v>#REF!</v>
      </c>
      <c r="G769" s="22">
        <f>G770+G771</f>
        <v>1539.8</v>
      </c>
      <c r="H769" s="22">
        <f t="shared" ref="H769:I769" si="202">H770+H771</f>
        <v>1539.8</v>
      </c>
      <c r="I769" s="22">
        <f t="shared" si="202"/>
        <v>1539.8</v>
      </c>
    </row>
    <row r="770" spans="1:11" ht="51.75" x14ac:dyDescent="0.25">
      <c r="A770" s="111"/>
      <c r="B770" s="111"/>
      <c r="C770" s="11"/>
      <c r="D770" s="11" t="s">
        <v>535</v>
      </c>
      <c r="E770" s="5" t="s">
        <v>536</v>
      </c>
      <c r="F770" s="22">
        <v>1406</v>
      </c>
      <c r="G770" s="22">
        <v>1490.5</v>
      </c>
      <c r="H770" s="22">
        <v>1490.5</v>
      </c>
      <c r="I770" s="22">
        <v>1490.5</v>
      </c>
    </row>
    <row r="771" spans="1:11" ht="26.25" x14ac:dyDescent="0.25">
      <c r="A771" s="111"/>
      <c r="B771" s="111"/>
      <c r="C771" s="11"/>
      <c r="D771" s="11" t="s">
        <v>344</v>
      </c>
      <c r="E771" s="5" t="s">
        <v>345</v>
      </c>
      <c r="F771" s="22"/>
      <c r="G771" s="22">
        <f>63-13.7</f>
        <v>49.3</v>
      </c>
      <c r="H771" s="22">
        <f t="shared" ref="H771:I771" si="203">63-13.7</f>
        <v>49.3</v>
      </c>
      <c r="I771" s="22">
        <f t="shared" si="203"/>
        <v>49.3</v>
      </c>
    </row>
    <row r="772" spans="1:11" ht="39" x14ac:dyDescent="0.25">
      <c r="A772" s="111"/>
      <c r="B772" s="111"/>
      <c r="C772" s="11" t="s">
        <v>1400</v>
      </c>
      <c r="D772" s="11"/>
      <c r="E772" s="5" t="s">
        <v>1401</v>
      </c>
      <c r="F772" s="22"/>
      <c r="G772" s="22">
        <v>15</v>
      </c>
      <c r="H772" s="22">
        <v>0</v>
      </c>
      <c r="I772" s="22">
        <v>0</v>
      </c>
    </row>
    <row r="773" spans="1:11" ht="26.25" x14ac:dyDescent="0.25">
      <c r="A773" s="111"/>
      <c r="B773" s="111"/>
      <c r="C773" s="11"/>
      <c r="D773" s="11" t="s">
        <v>344</v>
      </c>
      <c r="E773" s="5" t="s">
        <v>345</v>
      </c>
      <c r="F773" s="22"/>
      <c r="G773" s="22">
        <v>15</v>
      </c>
      <c r="H773" s="22">
        <v>0</v>
      </c>
      <c r="I773" s="22">
        <v>0</v>
      </c>
    </row>
    <row r="774" spans="1:11" ht="38.25" x14ac:dyDescent="0.25">
      <c r="A774" s="111"/>
      <c r="B774" s="111"/>
      <c r="C774" s="116" t="s">
        <v>539</v>
      </c>
      <c r="D774" s="27"/>
      <c r="E774" s="122" t="s">
        <v>673</v>
      </c>
      <c r="F774" s="22"/>
      <c r="G774" s="45">
        <f>G775</f>
        <v>100</v>
      </c>
      <c r="H774" s="45">
        <f t="shared" ref="H774:I774" si="204">H775</f>
        <v>100</v>
      </c>
      <c r="I774" s="45">
        <f t="shared" si="204"/>
        <v>100</v>
      </c>
    </row>
    <row r="775" spans="1:11" ht="26.25" x14ac:dyDescent="0.25">
      <c r="A775" s="111"/>
      <c r="B775" s="111"/>
      <c r="C775" s="11" t="s">
        <v>566</v>
      </c>
      <c r="D775" s="11"/>
      <c r="E775" s="5" t="s">
        <v>567</v>
      </c>
      <c r="F775" s="22">
        <f>F776</f>
        <v>0</v>
      </c>
      <c r="G775" s="22">
        <f>G776</f>
        <v>100</v>
      </c>
      <c r="H775" s="22">
        <f>H776</f>
        <v>100</v>
      </c>
      <c r="I775" s="22">
        <f>I776</f>
        <v>100</v>
      </c>
    </row>
    <row r="776" spans="1:11" ht="26.25" x14ac:dyDescent="0.25">
      <c r="A776" s="111"/>
      <c r="B776" s="111"/>
      <c r="C776" s="11"/>
      <c r="D776" s="11" t="s">
        <v>344</v>
      </c>
      <c r="E776" s="5" t="s">
        <v>345</v>
      </c>
      <c r="F776" s="22">
        <v>0</v>
      </c>
      <c r="G776" s="22">
        <v>100</v>
      </c>
      <c r="H776" s="22">
        <v>100</v>
      </c>
      <c r="I776" s="22">
        <v>100</v>
      </c>
    </row>
    <row r="777" spans="1:11" ht="25.5" x14ac:dyDescent="0.25">
      <c r="A777" s="113">
        <v>651</v>
      </c>
      <c r="B777" s="150"/>
      <c r="C777" s="151"/>
      <c r="D777" s="113"/>
      <c r="E777" s="114" t="s">
        <v>759</v>
      </c>
      <c r="F777" s="22"/>
      <c r="G777" s="96">
        <f>G778</f>
        <v>32073.800000000003</v>
      </c>
      <c r="H777" s="96">
        <f t="shared" ref="H777:I777" si="205">H778</f>
        <v>31594.1</v>
      </c>
      <c r="I777" s="96">
        <f t="shared" si="205"/>
        <v>31594.300000000003</v>
      </c>
    </row>
    <row r="778" spans="1:11" x14ac:dyDescent="0.25">
      <c r="A778" s="110"/>
      <c r="B778" s="27" t="s">
        <v>666</v>
      </c>
      <c r="C778" s="116"/>
      <c r="D778" s="115"/>
      <c r="E778" s="117" t="s">
        <v>1388</v>
      </c>
      <c r="F778" s="22"/>
      <c r="G778" s="45">
        <f>G779+G787+G792</f>
        <v>32073.800000000003</v>
      </c>
      <c r="H778" s="45">
        <f t="shared" ref="H778:I778" si="206">H779+H787+H792</f>
        <v>31594.1</v>
      </c>
      <c r="I778" s="45">
        <f t="shared" si="206"/>
        <v>31594.300000000003</v>
      </c>
    </row>
    <row r="779" spans="1:11" ht="25.5" x14ac:dyDescent="0.25">
      <c r="A779" s="110"/>
      <c r="B779" s="27" t="s">
        <v>760</v>
      </c>
      <c r="C779" s="116"/>
      <c r="D779" s="115"/>
      <c r="E779" s="117" t="s">
        <v>761</v>
      </c>
      <c r="F779" s="22"/>
      <c r="G779" s="45">
        <f>G780</f>
        <v>7979.6</v>
      </c>
      <c r="H779" s="45">
        <f t="shared" ref="H779:I779" si="207">H780</f>
        <v>7979.6</v>
      </c>
      <c r="I779" s="45">
        <f t="shared" si="207"/>
        <v>7979.6</v>
      </c>
    </row>
    <row r="780" spans="1:11" ht="25.5" x14ac:dyDescent="0.25">
      <c r="A780" s="110"/>
      <c r="B780" s="27"/>
      <c r="C780" s="116" t="s">
        <v>6</v>
      </c>
      <c r="D780" s="115"/>
      <c r="E780" s="117" t="s">
        <v>7</v>
      </c>
      <c r="F780" s="22"/>
      <c r="G780" s="45">
        <f>G782</f>
        <v>7979.6</v>
      </c>
      <c r="H780" s="45">
        <f>H782</f>
        <v>7979.6</v>
      </c>
      <c r="I780" s="45">
        <f>I782</f>
        <v>7979.6</v>
      </c>
    </row>
    <row r="781" spans="1:11" ht="25.5" x14ac:dyDescent="0.25">
      <c r="A781" s="152"/>
      <c r="B781" s="130"/>
      <c r="C781" s="131" t="s">
        <v>8</v>
      </c>
      <c r="D781" s="130"/>
      <c r="E781" s="132" t="s">
        <v>9</v>
      </c>
      <c r="F781" s="22"/>
      <c r="G781" s="147">
        <f>G782</f>
        <v>7979.6</v>
      </c>
      <c r="H781" s="147">
        <f t="shared" ref="H781:I781" si="208">H782</f>
        <v>7979.6</v>
      </c>
      <c r="I781" s="147">
        <f t="shared" si="208"/>
        <v>7979.6</v>
      </c>
    </row>
    <row r="782" spans="1:11" ht="39" x14ac:dyDescent="0.25">
      <c r="A782" s="49"/>
      <c r="B782" s="49"/>
      <c r="C782" s="49" t="s">
        <v>25</v>
      </c>
      <c r="D782" s="49"/>
      <c r="E782" s="55" t="s">
        <v>26</v>
      </c>
      <c r="F782" s="51" t="e">
        <f>F783</f>
        <v>#REF!</v>
      </c>
      <c r="G782" s="51">
        <f>G783</f>
        <v>7979.6</v>
      </c>
      <c r="H782" s="51">
        <f>H783</f>
        <v>7979.6</v>
      </c>
      <c r="I782" s="51">
        <f>I783</f>
        <v>7979.6</v>
      </c>
      <c r="K782" s="63">
        <f>G570+H570+I570</f>
        <v>735.7</v>
      </c>
    </row>
    <row r="783" spans="1:11" ht="39" x14ac:dyDescent="0.25">
      <c r="A783" s="52"/>
      <c r="B783" s="52"/>
      <c r="C783" s="52" t="s">
        <v>27</v>
      </c>
      <c r="D783" s="52"/>
      <c r="E783" s="53" t="s">
        <v>28</v>
      </c>
      <c r="F783" s="25" t="e">
        <f>F16+F784+#REF!+F404+#REF!</f>
        <v>#REF!</v>
      </c>
      <c r="G783" s="25">
        <f>G784</f>
        <v>7979.6</v>
      </c>
      <c r="H783" s="25">
        <f t="shared" ref="H783:I783" si="209">H784</f>
        <v>7979.6</v>
      </c>
      <c r="I783" s="25">
        <f t="shared" si="209"/>
        <v>7979.6</v>
      </c>
    </row>
    <row r="784" spans="1:11" ht="25.5" x14ac:dyDescent="0.25">
      <c r="A784" s="111"/>
      <c r="B784" s="111"/>
      <c r="C784" s="11" t="s">
        <v>31</v>
      </c>
      <c r="D784" s="11"/>
      <c r="E784" s="3" t="s">
        <v>32</v>
      </c>
      <c r="F784" s="22" t="e">
        <f>#REF!+#REF!</f>
        <v>#REF!</v>
      </c>
      <c r="G784" s="22">
        <f>G785+G786</f>
        <v>7979.6</v>
      </c>
      <c r="H784" s="22">
        <f t="shared" ref="H784:I784" si="210">H785+H786</f>
        <v>7979.6</v>
      </c>
      <c r="I784" s="22">
        <f t="shared" si="210"/>
        <v>7979.6</v>
      </c>
    </row>
    <row r="785" spans="1:9" ht="51.75" x14ac:dyDescent="0.25">
      <c r="A785" s="111"/>
      <c r="B785" s="111"/>
      <c r="C785" s="11"/>
      <c r="D785" s="11" t="s">
        <v>535</v>
      </c>
      <c r="E785" s="5" t="s">
        <v>536</v>
      </c>
      <c r="F785" s="22"/>
      <c r="G785" s="22">
        <v>7420.3</v>
      </c>
      <c r="H785" s="22">
        <v>7420.3</v>
      </c>
      <c r="I785" s="22">
        <v>7420.3</v>
      </c>
    </row>
    <row r="786" spans="1:9" ht="26.25" x14ac:dyDescent="0.25">
      <c r="A786" s="111"/>
      <c r="B786" s="111"/>
      <c r="C786" s="11"/>
      <c r="D786" s="11" t="s">
        <v>344</v>
      </c>
      <c r="E786" s="5" t="s">
        <v>345</v>
      </c>
      <c r="F786" s="22"/>
      <c r="G786" s="22">
        <v>559.29999999999995</v>
      </c>
      <c r="H786" s="22">
        <v>559.29999999999995</v>
      </c>
      <c r="I786" s="22">
        <v>559.29999999999995</v>
      </c>
    </row>
    <row r="787" spans="1:9" x14ac:dyDescent="0.25">
      <c r="A787" s="111"/>
      <c r="B787" s="27" t="s">
        <v>762</v>
      </c>
      <c r="C787" s="116"/>
      <c r="D787" s="27"/>
      <c r="E787" s="122" t="s">
        <v>763</v>
      </c>
      <c r="F787" s="22"/>
      <c r="G787" s="45">
        <f>G788</f>
        <v>484</v>
      </c>
      <c r="H787" s="45">
        <f t="shared" ref="H787:I789" si="211">H788</f>
        <v>484</v>
      </c>
      <c r="I787" s="45">
        <f t="shared" si="211"/>
        <v>484</v>
      </c>
    </row>
    <row r="788" spans="1:9" s="62" customFormat="1" x14ac:dyDescent="0.25">
      <c r="A788" s="469"/>
      <c r="B788" s="469"/>
      <c r="C788" s="94" t="s">
        <v>530</v>
      </c>
      <c r="D788" s="94"/>
      <c r="E788" s="95" t="s">
        <v>531</v>
      </c>
      <c r="F788" s="96" t="e">
        <f>F766+F789</f>
        <v>#REF!</v>
      </c>
      <c r="G788" s="96">
        <f>G789</f>
        <v>484</v>
      </c>
      <c r="H788" s="96">
        <f t="shared" si="211"/>
        <v>484</v>
      </c>
      <c r="I788" s="96">
        <f t="shared" si="211"/>
        <v>484</v>
      </c>
    </row>
    <row r="789" spans="1:9" s="62" customFormat="1" ht="39" x14ac:dyDescent="0.25">
      <c r="A789" s="468"/>
      <c r="B789" s="468"/>
      <c r="C789" s="97" t="s">
        <v>539</v>
      </c>
      <c r="D789" s="97"/>
      <c r="E789" s="99" t="s">
        <v>540</v>
      </c>
      <c r="F789" s="100" t="e">
        <f>F252+#REF!+#REF!+#REF!+#REF!+#REF!+#REF!+#REF!+#REF!+#REF!+#REF!+F6504+#REF!+#REF!+#REF!</f>
        <v>#REF!</v>
      </c>
      <c r="G789" s="100">
        <f>G790</f>
        <v>484</v>
      </c>
      <c r="H789" s="100">
        <f t="shared" si="211"/>
        <v>484</v>
      </c>
      <c r="I789" s="100">
        <f t="shared" si="211"/>
        <v>484</v>
      </c>
    </row>
    <row r="790" spans="1:9" ht="26.25" x14ac:dyDescent="0.25">
      <c r="A790" s="111"/>
      <c r="B790" s="111"/>
      <c r="C790" s="11" t="s">
        <v>562</v>
      </c>
      <c r="D790" s="11"/>
      <c r="E790" s="5" t="s">
        <v>563</v>
      </c>
      <c r="F790" s="22">
        <f>F791</f>
        <v>793.5</v>
      </c>
      <c r="G790" s="22">
        <f>G791</f>
        <v>484</v>
      </c>
      <c r="H790" s="22">
        <f>H791</f>
        <v>484</v>
      </c>
      <c r="I790" s="22">
        <f>I791</f>
        <v>484</v>
      </c>
    </row>
    <row r="791" spans="1:9" x14ac:dyDescent="0.25">
      <c r="A791" s="111"/>
      <c r="B791" s="111"/>
      <c r="C791" s="11"/>
      <c r="D791" s="11" t="s">
        <v>543</v>
      </c>
      <c r="E791" s="5" t="s">
        <v>544</v>
      </c>
      <c r="F791" s="22">
        <v>793.5</v>
      </c>
      <c r="G791" s="22">
        <v>484</v>
      </c>
      <c r="H791" s="22">
        <v>484</v>
      </c>
      <c r="I791" s="22">
        <v>484</v>
      </c>
    </row>
    <row r="792" spans="1:9" x14ac:dyDescent="0.25">
      <c r="A792" s="115"/>
      <c r="B792" s="27" t="s">
        <v>678</v>
      </c>
      <c r="C792" s="116"/>
      <c r="D792" s="115"/>
      <c r="E792" s="117" t="s">
        <v>679</v>
      </c>
      <c r="F792" s="57"/>
      <c r="G792" s="124">
        <f>G793+G827</f>
        <v>23610.2</v>
      </c>
      <c r="H792" s="124">
        <f>H793+H827</f>
        <v>23130.5</v>
      </c>
      <c r="I792" s="124">
        <f>I793+I827</f>
        <v>23130.7</v>
      </c>
    </row>
    <row r="793" spans="1:9" x14ac:dyDescent="0.25">
      <c r="A793" s="94"/>
      <c r="B793" s="94"/>
      <c r="C793" s="94" t="s">
        <v>530</v>
      </c>
      <c r="D793" s="94"/>
      <c r="E793" s="95" t="s">
        <v>531</v>
      </c>
      <c r="F793" s="96" t="e">
        <f>#REF!+F794</f>
        <v>#REF!</v>
      </c>
      <c r="G793" s="96">
        <f>G794</f>
        <v>23610.2</v>
      </c>
      <c r="H793" s="96">
        <f t="shared" ref="H793:I793" si="212">H794</f>
        <v>23130.5</v>
      </c>
      <c r="I793" s="96">
        <f t="shared" si="212"/>
        <v>23130.7</v>
      </c>
    </row>
    <row r="794" spans="1:9" ht="39" x14ac:dyDescent="0.25">
      <c r="A794" s="97"/>
      <c r="B794" s="97"/>
      <c r="C794" s="97" t="s">
        <v>539</v>
      </c>
      <c r="D794" s="97"/>
      <c r="E794" s="99" t="s">
        <v>540</v>
      </c>
      <c r="F794" s="100" t="e">
        <f>#REF!+F795+F802+F804+#REF!+#REF!+#REF!+F1497+F810+F812+#REF!+F6671+F798+F814+F817</f>
        <v>#REF!</v>
      </c>
      <c r="G794" s="100">
        <f>G795+G798+G800+G802</f>
        <v>23610.2</v>
      </c>
      <c r="H794" s="100">
        <f t="shared" ref="H794:I794" si="213">H795+H798+H800+H802</f>
        <v>23130.5</v>
      </c>
      <c r="I794" s="100">
        <f t="shared" si="213"/>
        <v>23130.7</v>
      </c>
    </row>
    <row r="795" spans="1:9" ht="26.25" x14ac:dyDescent="0.25">
      <c r="A795" s="111"/>
      <c r="B795" s="111"/>
      <c r="C795" s="11" t="s">
        <v>545</v>
      </c>
      <c r="D795" s="11"/>
      <c r="E795" s="14" t="s">
        <v>546</v>
      </c>
      <c r="F795" s="22">
        <f>F796+F797</f>
        <v>13159.9</v>
      </c>
      <c r="G795" s="22">
        <f>G796+G797</f>
        <v>15066.1</v>
      </c>
      <c r="H795" s="22">
        <f>H796+H797</f>
        <v>14628</v>
      </c>
      <c r="I795" s="22">
        <f>I796+I797</f>
        <v>14628.2</v>
      </c>
    </row>
    <row r="796" spans="1:9" ht="51.75" x14ac:dyDescent="0.25">
      <c r="A796" s="111"/>
      <c r="B796" s="111"/>
      <c r="C796" s="11"/>
      <c r="D796" s="11" t="s">
        <v>535</v>
      </c>
      <c r="E796" s="5" t="s">
        <v>536</v>
      </c>
      <c r="F796" s="35">
        <v>12224.9</v>
      </c>
      <c r="G796" s="35">
        <v>14080.7</v>
      </c>
      <c r="H796" s="35">
        <v>13663.6</v>
      </c>
      <c r="I796" s="35">
        <v>13663.6</v>
      </c>
    </row>
    <row r="797" spans="1:9" ht="26.25" x14ac:dyDescent="0.25">
      <c r="A797" s="111"/>
      <c r="B797" s="111"/>
      <c r="C797" s="11"/>
      <c r="D797" s="11" t="s">
        <v>344</v>
      </c>
      <c r="E797" s="5" t="s">
        <v>345</v>
      </c>
      <c r="F797" s="22">
        <v>935</v>
      </c>
      <c r="G797" s="22">
        <v>985.4</v>
      </c>
      <c r="H797" s="22">
        <f>1064.4-100</f>
        <v>964.40000000000009</v>
      </c>
      <c r="I797" s="22">
        <f>1107-142.4</f>
        <v>964.6</v>
      </c>
    </row>
    <row r="798" spans="1:9" ht="39" x14ac:dyDescent="0.25">
      <c r="A798" s="111"/>
      <c r="B798" s="111"/>
      <c r="C798" s="11" t="s">
        <v>547</v>
      </c>
      <c r="D798" s="11"/>
      <c r="E798" s="5" t="s">
        <v>76</v>
      </c>
      <c r="F798" s="22">
        <f t="shared" ref="F798:I798" si="214">F799</f>
        <v>115</v>
      </c>
      <c r="G798" s="22">
        <f t="shared" si="214"/>
        <v>153.6</v>
      </c>
      <c r="H798" s="22">
        <f t="shared" si="214"/>
        <v>112</v>
      </c>
      <c r="I798" s="22">
        <f t="shared" si="214"/>
        <v>112</v>
      </c>
    </row>
    <row r="799" spans="1:9" ht="51.75" x14ac:dyDescent="0.25">
      <c r="A799" s="111"/>
      <c r="B799" s="111"/>
      <c r="C799" s="11"/>
      <c r="D799" s="11" t="s">
        <v>535</v>
      </c>
      <c r="E799" s="5" t="s">
        <v>536</v>
      </c>
      <c r="F799" s="22">
        <v>115</v>
      </c>
      <c r="G799" s="22">
        <v>153.6</v>
      </c>
      <c r="H799" s="22">
        <v>112</v>
      </c>
      <c r="I799" s="22">
        <v>112</v>
      </c>
    </row>
    <row r="800" spans="1:9" ht="25.5" x14ac:dyDescent="0.25">
      <c r="A800" s="111"/>
      <c r="B800" s="111"/>
      <c r="C800" s="11" t="s">
        <v>548</v>
      </c>
      <c r="D800" s="11"/>
      <c r="E800" s="3" t="s">
        <v>549</v>
      </c>
      <c r="F800" s="72">
        <f t="shared" ref="F800:I800" si="215">F801</f>
        <v>0</v>
      </c>
      <c r="G800" s="72">
        <f t="shared" si="215"/>
        <v>0</v>
      </c>
      <c r="H800" s="72">
        <f t="shared" si="215"/>
        <v>0</v>
      </c>
      <c r="I800" s="72">
        <f t="shared" si="215"/>
        <v>0</v>
      </c>
    </row>
    <row r="801" spans="1:9" ht="51.75" x14ac:dyDescent="0.25">
      <c r="A801" s="111"/>
      <c r="B801" s="111"/>
      <c r="C801" s="11"/>
      <c r="D801" s="11" t="s">
        <v>535</v>
      </c>
      <c r="E801" s="5" t="s">
        <v>536</v>
      </c>
      <c r="F801" s="22"/>
      <c r="G801" s="22">
        <v>0</v>
      </c>
      <c r="H801" s="22">
        <v>0</v>
      </c>
      <c r="I801" s="22">
        <v>0</v>
      </c>
    </row>
    <row r="802" spans="1:9" ht="51.75" x14ac:dyDescent="0.25">
      <c r="A802" s="111"/>
      <c r="B802" s="111"/>
      <c r="C802" s="11" t="s">
        <v>550</v>
      </c>
      <c r="D802" s="11"/>
      <c r="E802" s="5" t="s">
        <v>551</v>
      </c>
      <c r="F802" s="22">
        <f>F803</f>
        <v>7638.5</v>
      </c>
      <c r="G802" s="22">
        <f>G803</f>
        <v>8390.5</v>
      </c>
      <c r="H802" s="22">
        <f>H803</f>
        <v>8390.5</v>
      </c>
      <c r="I802" s="22">
        <f>I803</f>
        <v>8390.5</v>
      </c>
    </row>
    <row r="803" spans="1:9" ht="51.75" x14ac:dyDescent="0.25">
      <c r="A803" s="111"/>
      <c r="B803" s="111"/>
      <c r="C803" s="11"/>
      <c r="D803" s="11" t="s">
        <v>535</v>
      </c>
      <c r="E803" s="5" t="s">
        <v>536</v>
      </c>
      <c r="F803" s="22">
        <v>7638.5</v>
      </c>
      <c r="G803" s="22">
        <f>8339.3+51.2</f>
        <v>8390.5</v>
      </c>
      <c r="H803" s="22">
        <f>8339.3+51.2</f>
        <v>8390.5</v>
      </c>
      <c r="I803" s="22">
        <f>8339.3+51.2</f>
        <v>8390.5</v>
      </c>
    </row>
    <row r="804" spans="1:9" x14ac:dyDescent="0.25">
      <c r="A804" s="101"/>
      <c r="B804" s="101"/>
      <c r="C804" s="101"/>
      <c r="D804" s="101"/>
      <c r="E804" s="95" t="s">
        <v>587</v>
      </c>
      <c r="F804" s="102" t="e">
        <f>#REF!+F788</f>
        <v>#REF!</v>
      </c>
      <c r="G804" s="451">
        <f>SUM(G777+G762+G638+G443+G9)</f>
        <v>874748.32649999997</v>
      </c>
      <c r="H804" s="451">
        <f>SUM(H777+H762+H638+H443+H9)</f>
        <v>802554.85300000012</v>
      </c>
      <c r="I804" s="451">
        <f>SUM(I777+I762+I638+I443+I9)-0.06+0.1</f>
        <v>853459.85600000003</v>
      </c>
    </row>
  </sheetData>
  <mergeCells count="11">
    <mergeCell ref="G1:I1"/>
    <mergeCell ref="G2:I2"/>
    <mergeCell ref="G3:I3"/>
    <mergeCell ref="G6:I6"/>
    <mergeCell ref="G4:I4"/>
    <mergeCell ref="F5:I5"/>
    <mergeCell ref="O513:P513"/>
    <mergeCell ref="Q513:R513"/>
    <mergeCell ref="O477:P477"/>
    <mergeCell ref="Q477:R477"/>
    <mergeCell ref="A7:I7"/>
  </mergeCells>
  <pageMargins left="1.1023622047244095" right="0.51181102362204722" top="0.74803149606299213" bottom="0.74803149606299213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topLeftCell="A7" zoomScale="60" zoomScaleNormal="70" workbookViewId="0">
      <selection activeCell="E12" sqref="E12"/>
    </sheetView>
  </sheetViews>
  <sheetFormatPr defaultRowHeight="15" x14ac:dyDescent="0.25"/>
  <cols>
    <col min="2" max="2" width="36.42578125" customWidth="1"/>
    <col min="3" max="3" width="12.42578125" customWidth="1"/>
    <col min="4" max="4" width="11.85546875" customWidth="1"/>
    <col min="5" max="5" width="11.7109375" customWidth="1"/>
    <col min="6" max="6" width="12.7109375" customWidth="1"/>
    <col min="7" max="7" width="11.140625" customWidth="1"/>
    <col min="8" max="8" width="11.5703125" customWidth="1"/>
    <col min="9" max="9" width="11" customWidth="1"/>
    <col min="10" max="10" width="11.140625" customWidth="1"/>
    <col min="11" max="11" width="12.42578125" customWidth="1"/>
    <col min="258" max="258" width="26.85546875" customWidth="1"/>
    <col min="259" max="259" width="12.42578125" customWidth="1"/>
    <col min="260" max="260" width="11.85546875" customWidth="1"/>
    <col min="261" max="261" width="11.7109375" customWidth="1"/>
    <col min="262" max="262" width="12.7109375" customWidth="1"/>
    <col min="263" max="263" width="11.140625" customWidth="1"/>
    <col min="264" max="264" width="11.5703125" customWidth="1"/>
    <col min="265" max="265" width="11" customWidth="1"/>
    <col min="266" max="266" width="11.140625" customWidth="1"/>
    <col min="267" max="267" width="12.42578125" customWidth="1"/>
    <col min="514" max="514" width="26.85546875" customWidth="1"/>
    <col min="515" max="515" width="12.42578125" customWidth="1"/>
    <col min="516" max="516" width="11.85546875" customWidth="1"/>
    <col min="517" max="517" width="11.7109375" customWidth="1"/>
    <col min="518" max="518" width="12.7109375" customWidth="1"/>
    <col min="519" max="519" width="11.140625" customWidth="1"/>
    <col min="520" max="520" width="11.5703125" customWidth="1"/>
    <col min="521" max="521" width="11" customWidth="1"/>
    <col min="522" max="522" width="11.140625" customWidth="1"/>
    <col min="523" max="523" width="12.42578125" customWidth="1"/>
    <col min="770" max="770" width="26.85546875" customWidth="1"/>
    <col min="771" max="771" width="12.42578125" customWidth="1"/>
    <col min="772" max="772" width="11.85546875" customWidth="1"/>
    <col min="773" max="773" width="11.7109375" customWidth="1"/>
    <col min="774" max="774" width="12.7109375" customWidth="1"/>
    <col min="775" max="775" width="11.140625" customWidth="1"/>
    <col min="776" max="776" width="11.5703125" customWidth="1"/>
    <col min="777" max="777" width="11" customWidth="1"/>
    <col min="778" max="778" width="11.140625" customWidth="1"/>
    <col min="779" max="779" width="12.42578125" customWidth="1"/>
    <col min="1026" max="1026" width="26.85546875" customWidth="1"/>
    <col min="1027" max="1027" width="12.42578125" customWidth="1"/>
    <col min="1028" max="1028" width="11.85546875" customWidth="1"/>
    <col min="1029" max="1029" width="11.7109375" customWidth="1"/>
    <col min="1030" max="1030" width="12.7109375" customWidth="1"/>
    <col min="1031" max="1031" width="11.140625" customWidth="1"/>
    <col min="1032" max="1032" width="11.5703125" customWidth="1"/>
    <col min="1033" max="1033" width="11" customWidth="1"/>
    <col min="1034" max="1034" width="11.140625" customWidth="1"/>
    <col min="1035" max="1035" width="12.42578125" customWidth="1"/>
    <col min="1282" max="1282" width="26.85546875" customWidth="1"/>
    <col min="1283" max="1283" width="12.42578125" customWidth="1"/>
    <col min="1284" max="1284" width="11.85546875" customWidth="1"/>
    <col min="1285" max="1285" width="11.7109375" customWidth="1"/>
    <col min="1286" max="1286" width="12.7109375" customWidth="1"/>
    <col min="1287" max="1287" width="11.140625" customWidth="1"/>
    <col min="1288" max="1288" width="11.5703125" customWidth="1"/>
    <col min="1289" max="1289" width="11" customWidth="1"/>
    <col min="1290" max="1290" width="11.140625" customWidth="1"/>
    <col min="1291" max="1291" width="12.42578125" customWidth="1"/>
    <col min="1538" max="1538" width="26.85546875" customWidth="1"/>
    <col min="1539" max="1539" width="12.42578125" customWidth="1"/>
    <col min="1540" max="1540" width="11.85546875" customWidth="1"/>
    <col min="1541" max="1541" width="11.7109375" customWidth="1"/>
    <col min="1542" max="1542" width="12.7109375" customWidth="1"/>
    <col min="1543" max="1543" width="11.140625" customWidth="1"/>
    <col min="1544" max="1544" width="11.5703125" customWidth="1"/>
    <col min="1545" max="1545" width="11" customWidth="1"/>
    <col min="1546" max="1546" width="11.140625" customWidth="1"/>
    <col min="1547" max="1547" width="12.42578125" customWidth="1"/>
    <col min="1794" max="1794" width="26.85546875" customWidth="1"/>
    <col min="1795" max="1795" width="12.42578125" customWidth="1"/>
    <col min="1796" max="1796" width="11.85546875" customWidth="1"/>
    <col min="1797" max="1797" width="11.7109375" customWidth="1"/>
    <col min="1798" max="1798" width="12.7109375" customWidth="1"/>
    <col min="1799" max="1799" width="11.140625" customWidth="1"/>
    <col min="1800" max="1800" width="11.5703125" customWidth="1"/>
    <col min="1801" max="1801" width="11" customWidth="1"/>
    <col min="1802" max="1802" width="11.140625" customWidth="1"/>
    <col min="1803" max="1803" width="12.42578125" customWidth="1"/>
    <col min="2050" max="2050" width="26.85546875" customWidth="1"/>
    <col min="2051" max="2051" width="12.42578125" customWidth="1"/>
    <col min="2052" max="2052" width="11.85546875" customWidth="1"/>
    <col min="2053" max="2053" width="11.7109375" customWidth="1"/>
    <col min="2054" max="2054" width="12.7109375" customWidth="1"/>
    <col min="2055" max="2055" width="11.140625" customWidth="1"/>
    <col min="2056" max="2056" width="11.5703125" customWidth="1"/>
    <col min="2057" max="2057" width="11" customWidth="1"/>
    <col min="2058" max="2058" width="11.140625" customWidth="1"/>
    <col min="2059" max="2059" width="12.42578125" customWidth="1"/>
    <col min="2306" max="2306" width="26.85546875" customWidth="1"/>
    <col min="2307" max="2307" width="12.42578125" customWidth="1"/>
    <col min="2308" max="2308" width="11.85546875" customWidth="1"/>
    <col min="2309" max="2309" width="11.7109375" customWidth="1"/>
    <col min="2310" max="2310" width="12.7109375" customWidth="1"/>
    <col min="2311" max="2311" width="11.140625" customWidth="1"/>
    <col min="2312" max="2312" width="11.5703125" customWidth="1"/>
    <col min="2313" max="2313" width="11" customWidth="1"/>
    <col min="2314" max="2314" width="11.140625" customWidth="1"/>
    <col min="2315" max="2315" width="12.42578125" customWidth="1"/>
    <col min="2562" max="2562" width="26.85546875" customWidth="1"/>
    <col min="2563" max="2563" width="12.42578125" customWidth="1"/>
    <col min="2564" max="2564" width="11.85546875" customWidth="1"/>
    <col min="2565" max="2565" width="11.7109375" customWidth="1"/>
    <col min="2566" max="2566" width="12.7109375" customWidth="1"/>
    <col min="2567" max="2567" width="11.140625" customWidth="1"/>
    <col min="2568" max="2568" width="11.5703125" customWidth="1"/>
    <col min="2569" max="2569" width="11" customWidth="1"/>
    <col min="2570" max="2570" width="11.140625" customWidth="1"/>
    <col min="2571" max="2571" width="12.42578125" customWidth="1"/>
    <col min="2818" max="2818" width="26.85546875" customWidth="1"/>
    <col min="2819" max="2819" width="12.42578125" customWidth="1"/>
    <col min="2820" max="2820" width="11.85546875" customWidth="1"/>
    <col min="2821" max="2821" width="11.7109375" customWidth="1"/>
    <col min="2822" max="2822" width="12.7109375" customWidth="1"/>
    <col min="2823" max="2823" width="11.140625" customWidth="1"/>
    <col min="2824" max="2824" width="11.5703125" customWidth="1"/>
    <col min="2825" max="2825" width="11" customWidth="1"/>
    <col min="2826" max="2826" width="11.140625" customWidth="1"/>
    <col min="2827" max="2827" width="12.42578125" customWidth="1"/>
    <col min="3074" max="3074" width="26.85546875" customWidth="1"/>
    <col min="3075" max="3075" width="12.42578125" customWidth="1"/>
    <col min="3076" max="3076" width="11.85546875" customWidth="1"/>
    <col min="3077" max="3077" width="11.7109375" customWidth="1"/>
    <col min="3078" max="3078" width="12.7109375" customWidth="1"/>
    <col min="3079" max="3079" width="11.140625" customWidth="1"/>
    <col min="3080" max="3080" width="11.5703125" customWidth="1"/>
    <col min="3081" max="3081" width="11" customWidth="1"/>
    <col min="3082" max="3082" width="11.140625" customWidth="1"/>
    <col min="3083" max="3083" width="12.42578125" customWidth="1"/>
    <col min="3330" max="3330" width="26.85546875" customWidth="1"/>
    <col min="3331" max="3331" width="12.42578125" customWidth="1"/>
    <col min="3332" max="3332" width="11.85546875" customWidth="1"/>
    <col min="3333" max="3333" width="11.7109375" customWidth="1"/>
    <col min="3334" max="3334" width="12.7109375" customWidth="1"/>
    <col min="3335" max="3335" width="11.140625" customWidth="1"/>
    <col min="3336" max="3336" width="11.5703125" customWidth="1"/>
    <col min="3337" max="3337" width="11" customWidth="1"/>
    <col min="3338" max="3338" width="11.140625" customWidth="1"/>
    <col min="3339" max="3339" width="12.42578125" customWidth="1"/>
    <col min="3586" max="3586" width="26.85546875" customWidth="1"/>
    <col min="3587" max="3587" width="12.42578125" customWidth="1"/>
    <col min="3588" max="3588" width="11.85546875" customWidth="1"/>
    <col min="3589" max="3589" width="11.7109375" customWidth="1"/>
    <col min="3590" max="3590" width="12.7109375" customWidth="1"/>
    <col min="3591" max="3591" width="11.140625" customWidth="1"/>
    <col min="3592" max="3592" width="11.5703125" customWidth="1"/>
    <col min="3593" max="3593" width="11" customWidth="1"/>
    <col min="3594" max="3594" width="11.140625" customWidth="1"/>
    <col min="3595" max="3595" width="12.42578125" customWidth="1"/>
    <col min="3842" max="3842" width="26.85546875" customWidth="1"/>
    <col min="3843" max="3843" width="12.42578125" customWidth="1"/>
    <col min="3844" max="3844" width="11.85546875" customWidth="1"/>
    <col min="3845" max="3845" width="11.7109375" customWidth="1"/>
    <col min="3846" max="3846" width="12.7109375" customWidth="1"/>
    <col min="3847" max="3847" width="11.140625" customWidth="1"/>
    <col min="3848" max="3848" width="11.5703125" customWidth="1"/>
    <col min="3849" max="3849" width="11" customWidth="1"/>
    <col min="3850" max="3850" width="11.140625" customWidth="1"/>
    <col min="3851" max="3851" width="12.42578125" customWidth="1"/>
    <col min="4098" max="4098" width="26.85546875" customWidth="1"/>
    <col min="4099" max="4099" width="12.42578125" customWidth="1"/>
    <col min="4100" max="4100" width="11.85546875" customWidth="1"/>
    <col min="4101" max="4101" width="11.7109375" customWidth="1"/>
    <col min="4102" max="4102" width="12.7109375" customWidth="1"/>
    <col min="4103" max="4103" width="11.140625" customWidth="1"/>
    <col min="4104" max="4104" width="11.5703125" customWidth="1"/>
    <col min="4105" max="4105" width="11" customWidth="1"/>
    <col min="4106" max="4106" width="11.140625" customWidth="1"/>
    <col min="4107" max="4107" width="12.42578125" customWidth="1"/>
    <col min="4354" max="4354" width="26.85546875" customWidth="1"/>
    <col min="4355" max="4355" width="12.42578125" customWidth="1"/>
    <col min="4356" max="4356" width="11.85546875" customWidth="1"/>
    <col min="4357" max="4357" width="11.7109375" customWidth="1"/>
    <col min="4358" max="4358" width="12.7109375" customWidth="1"/>
    <col min="4359" max="4359" width="11.140625" customWidth="1"/>
    <col min="4360" max="4360" width="11.5703125" customWidth="1"/>
    <col min="4361" max="4361" width="11" customWidth="1"/>
    <col min="4362" max="4362" width="11.140625" customWidth="1"/>
    <col min="4363" max="4363" width="12.42578125" customWidth="1"/>
    <col min="4610" max="4610" width="26.85546875" customWidth="1"/>
    <col min="4611" max="4611" width="12.42578125" customWidth="1"/>
    <col min="4612" max="4612" width="11.85546875" customWidth="1"/>
    <col min="4613" max="4613" width="11.7109375" customWidth="1"/>
    <col min="4614" max="4614" width="12.7109375" customWidth="1"/>
    <col min="4615" max="4615" width="11.140625" customWidth="1"/>
    <col min="4616" max="4616" width="11.5703125" customWidth="1"/>
    <col min="4617" max="4617" width="11" customWidth="1"/>
    <col min="4618" max="4618" width="11.140625" customWidth="1"/>
    <col min="4619" max="4619" width="12.42578125" customWidth="1"/>
    <col min="4866" max="4866" width="26.85546875" customWidth="1"/>
    <col min="4867" max="4867" width="12.42578125" customWidth="1"/>
    <col min="4868" max="4868" width="11.85546875" customWidth="1"/>
    <col min="4869" max="4869" width="11.7109375" customWidth="1"/>
    <col min="4870" max="4870" width="12.7109375" customWidth="1"/>
    <col min="4871" max="4871" width="11.140625" customWidth="1"/>
    <col min="4872" max="4872" width="11.5703125" customWidth="1"/>
    <col min="4873" max="4873" width="11" customWidth="1"/>
    <col min="4874" max="4874" width="11.140625" customWidth="1"/>
    <col min="4875" max="4875" width="12.42578125" customWidth="1"/>
    <col min="5122" max="5122" width="26.85546875" customWidth="1"/>
    <col min="5123" max="5123" width="12.42578125" customWidth="1"/>
    <col min="5124" max="5124" width="11.85546875" customWidth="1"/>
    <col min="5125" max="5125" width="11.7109375" customWidth="1"/>
    <col min="5126" max="5126" width="12.7109375" customWidth="1"/>
    <col min="5127" max="5127" width="11.140625" customWidth="1"/>
    <col min="5128" max="5128" width="11.5703125" customWidth="1"/>
    <col min="5129" max="5129" width="11" customWidth="1"/>
    <col min="5130" max="5130" width="11.140625" customWidth="1"/>
    <col min="5131" max="5131" width="12.42578125" customWidth="1"/>
    <col min="5378" max="5378" width="26.85546875" customWidth="1"/>
    <col min="5379" max="5379" width="12.42578125" customWidth="1"/>
    <col min="5380" max="5380" width="11.85546875" customWidth="1"/>
    <col min="5381" max="5381" width="11.7109375" customWidth="1"/>
    <col min="5382" max="5382" width="12.7109375" customWidth="1"/>
    <col min="5383" max="5383" width="11.140625" customWidth="1"/>
    <col min="5384" max="5384" width="11.5703125" customWidth="1"/>
    <col min="5385" max="5385" width="11" customWidth="1"/>
    <col min="5386" max="5386" width="11.140625" customWidth="1"/>
    <col min="5387" max="5387" width="12.42578125" customWidth="1"/>
    <col min="5634" max="5634" width="26.85546875" customWidth="1"/>
    <col min="5635" max="5635" width="12.42578125" customWidth="1"/>
    <col min="5636" max="5636" width="11.85546875" customWidth="1"/>
    <col min="5637" max="5637" width="11.7109375" customWidth="1"/>
    <col min="5638" max="5638" width="12.7109375" customWidth="1"/>
    <col min="5639" max="5639" width="11.140625" customWidth="1"/>
    <col min="5640" max="5640" width="11.5703125" customWidth="1"/>
    <col min="5641" max="5641" width="11" customWidth="1"/>
    <col min="5642" max="5642" width="11.140625" customWidth="1"/>
    <col min="5643" max="5643" width="12.42578125" customWidth="1"/>
    <col min="5890" max="5890" width="26.85546875" customWidth="1"/>
    <col min="5891" max="5891" width="12.42578125" customWidth="1"/>
    <col min="5892" max="5892" width="11.85546875" customWidth="1"/>
    <col min="5893" max="5893" width="11.7109375" customWidth="1"/>
    <col min="5894" max="5894" width="12.7109375" customWidth="1"/>
    <col min="5895" max="5895" width="11.140625" customWidth="1"/>
    <col min="5896" max="5896" width="11.5703125" customWidth="1"/>
    <col min="5897" max="5897" width="11" customWidth="1"/>
    <col min="5898" max="5898" width="11.140625" customWidth="1"/>
    <col min="5899" max="5899" width="12.42578125" customWidth="1"/>
    <col min="6146" max="6146" width="26.85546875" customWidth="1"/>
    <col min="6147" max="6147" width="12.42578125" customWidth="1"/>
    <col min="6148" max="6148" width="11.85546875" customWidth="1"/>
    <col min="6149" max="6149" width="11.7109375" customWidth="1"/>
    <col min="6150" max="6150" width="12.7109375" customWidth="1"/>
    <col min="6151" max="6151" width="11.140625" customWidth="1"/>
    <col min="6152" max="6152" width="11.5703125" customWidth="1"/>
    <col min="6153" max="6153" width="11" customWidth="1"/>
    <col min="6154" max="6154" width="11.140625" customWidth="1"/>
    <col min="6155" max="6155" width="12.42578125" customWidth="1"/>
    <col min="6402" max="6402" width="26.85546875" customWidth="1"/>
    <col min="6403" max="6403" width="12.42578125" customWidth="1"/>
    <col min="6404" max="6404" width="11.85546875" customWidth="1"/>
    <col min="6405" max="6405" width="11.7109375" customWidth="1"/>
    <col min="6406" max="6406" width="12.7109375" customWidth="1"/>
    <col min="6407" max="6407" width="11.140625" customWidth="1"/>
    <col min="6408" max="6408" width="11.5703125" customWidth="1"/>
    <col min="6409" max="6409" width="11" customWidth="1"/>
    <col min="6410" max="6410" width="11.140625" customWidth="1"/>
    <col min="6411" max="6411" width="12.42578125" customWidth="1"/>
    <col min="6658" max="6658" width="26.85546875" customWidth="1"/>
    <col min="6659" max="6659" width="12.42578125" customWidth="1"/>
    <col min="6660" max="6660" width="11.85546875" customWidth="1"/>
    <col min="6661" max="6661" width="11.7109375" customWidth="1"/>
    <col min="6662" max="6662" width="12.7109375" customWidth="1"/>
    <col min="6663" max="6663" width="11.140625" customWidth="1"/>
    <col min="6664" max="6664" width="11.5703125" customWidth="1"/>
    <col min="6665" max="6665" width="11" customWidth="1"/>
    <col min="6666" max="6666" width="11.140625" customWidth="1"/>
    <col min="6667" max="6667" width="12.42578125" customWidth="1"/>
    <col min="6914" max="6914" width="26.85546875" customWidth="1"/>
    <col min="6915" max="6915" width="12.42578125" customWidth="1"/>
    <col min="6916" max="6916" width="11.85546875" customWidth="1"/>
    <col min="6917" max="6917" width="11.7109375" customWidth="1"/>
    <col min="6918" max="6918" width="12.7109375" customWidth="1"/>
    <col min="6919" max="6919" width="11.140625" customWidth="1"/>
    <col min="6920" max="6920" width="11.5703125" customWidth="1"/>
    <col min="6921" max="6921" width="11" customWidth="1"/>
    <col min="6922" max="6922" width="11.140625" customWidth="1"/>
    <col min="6923" max="6923" width="12.42578125" customWidth="1"/>
    <col min="7170" max="7170" width="26.85546875" customWidth="1"/>
    <col min="7171" max="7171" width="12.42578125" customWidth="1"/>
    <col min="7172" max="7172" width="11.85546875" customWidth="1"/>
    <col min="7173" max="7173" width="11.7109375" customWidth="1"/>
    <col min="7174" max="7174" width="12.7109375" customWidth="1"/>
    <col min="7175" max="7175" width="11.140625" customWidth="1"/>
    <col min="7176" max="7176" width="11.5703125" customWidth="1"/>
    <col min="7177" max="7177" width="11" customWidth="1"/>
    <col min="7178" max="7178" width="11.140625" customWidth="1"/>
    <col min="7179" max="7179" width="12.42578125" customWidth="1"/>
    <col min="7426" max="7426" width="26.85546875" customWidth="1"/>
    <col min="7427" max="7427" width="12.42578125" customWidth="1"/>
    <col min="7428" max="7428" width="11.85546875" customWidth="1"/>
    <col min="7429" max="7429" width="11.7109375" customWidth="1"/>
    <col min="7430" max="7430" width="12.7109375" customWidth="1"/>
    <col min="7431" max="7431" width="11.140625" customWidth="1"/>
    <col min="7432" max="7432" width="11.5703125" customWidth="1"/>
    <col min="7433" max="7433" width="11" customWidth="1"/>
    <col min="7434" max="7434" width="11.140625" customWidth="1"/>
    <col min="7435" max="7435" width="12.42578125" customWidth="1"/>
    <col min="7682" max="7682" width="26.85546875" customWidth="1"/>
    <col min="7683" max="7683" width="12.42578125" customWidth="1"/>
    <col min="7684" max="7684" width="11.85546875" customWidth="1"/>
    <col min="7685" max="7685" width="11.7109375" customWidth="1"/>
    <col min="7686" max="7686" width="12.7109375" customWidth="1"/>
    <col min="7687" max="7687" width="11.140625" customWidth="1"/>
    <col min="7688" max="7688" width="11.5703125" customWidth="1"/>
    <col min="7689" max="7689" width="11" customWidth="1"/>
    <col min="7690" max="7690" width="11.140625" customWidth="1"/>
    <col min="7691" max="7691" width="12.42578125" customWidth="1"/>
    <col min="7938" max="7938" width="26.85546875" customWidth="1"/>
    <col min="7939" max="7939" width="12.42578125" customWidth="1"/>
    <col min="7940" max="7940" width="11.85546875" customWidth="1"/>
    <col min="7941" max="7941" width="11.7109375" customWidth="1"/>
    <col min="7942" max="7942" width="12.7109375" customWidth="1"/>
    <col min="7943" max="7943" width="11.140625" customWidth="1"/>
    <col min="7944" max="7944" width="11.5703125" customWidth="1"/>
    <col min="7945" max="7945" width="11" customWidth="1"/>
    <col min="7946" max="7946" width="11.140625" customWidth="1"/>
    <col min="7947" max="7947" width="12.42578125" customWidth="1"/>
    <col min="8194" max="8194" width="26.85546875" customWidth="1"/>
    <col min="8195" max="8195" width="12.42578125" customWidth="1"/>
    <col min="8196" max="8196" width="11.85546875" customWidth="1"/>
    <col min="8197" max="8197" width="11.7109375" customWidth="1"/>
    <col min="8198" max="8198" width="12.7109375" customWidth="1"/>
    <col min="8199" max="8199" width="11.140625" customWidth="1"/>
    <col min="8200" max="8200" width="11.5703125" customWidth="1"/>
    <col min="8201" max="8201" width="11" customWidth="1"/>
    <col min="8202" max="8202" width="11.140625" customWidth="1"/>
    <col min="8203" max="8203" width="12.42578125" customWidth="1"/>
    <col min="8450" max="8450" width="26.85546875" customWidth="1"/>
    <col min="8451" max="8451" width="12.42578125" customWidth="1"/>
    <col min="8452" max="8452" width="11.85546875" customWidth="1"/>
    <col min="8453" max="8453" width="11.7109375" customWidth="1"/>
    <col min="8454" max="8454" width="12.7109375" customWidth="1"/>
    <col min="8455" max="8455" width="11.140625" customWidth="1"/>
    <col min="8456" max="8456" width="11.5703125" customWidth="1"/>
    <col min="8457" max="8457" width="11" customWidth="1"/>
    <col min="8458" max="8458" width="11.140625" customWidth="1"/>
    <col min="8459" max="8459" width="12.42578125" customWidth="1"/>
    <col min="8706" max="8706" width="26.85546875" customWidth="1"/>
    <col min="8707" max="8707" width="12.42578125" customWidth="1"/>
    <col min="8708" max="8708" width="11.85546875" customWidth="1"/>
    <col min="8709" max="8709" width="11.7109375" customWidth="1"/>
    <col min="8710" max="8710" width="12.7109375" customWidth="1"/>
    <col min="8711" max="8711" width="11.140625" customWidth="1"/>
    <col min="8712" max="8712" width="11.5703125" customWidth="1"/>
    <col min="8713" max="8713" width="11" customWidth="1"/>
    <col min="8714" max="8714" width="11.140625" customWidth="1"/>
    <col min="8715" max="8715" width="12.42578125" customWidth="1"/>
    <col min="8962" max="8962" width="26.85546875" customWidth="1"/>
    <col min="8963" max="8963" width="12.42578125" customWidth="1"/>
    <col min="8964" max="8964" width="11.85546875" customWidth="1"/>
    <col min="8965" max="8965" width="11.7109375" customWidth="1"/>
    <col min="8966" max="8966" width="12.7109375" customWidth="1"/>
    <col min="8967" max="8967" width="11.140625" customWidth="1"/>
    <col min="8968" max="8968" width="11.5703125" customWidth="1"/>
    <col min="8969" max="8969" width="11" customWidth="1"/>
    <col min="8970" max="8970" width="11.140625" customWidth="1"/>
    <col min="8971" max="8971" width="12.42578125" customWidth="1"/>
    <col min="9218" max="9218" width="26.85546875" customWidth="1"/>
    <col min="9219" max="9219" width="12.42578125" customWidth="1"/>
    <col min="9220" max="9220" width="11.85546875" customWidth="1"/>
    <col min="9221" max="9221" width="11.7109375" customWidth="1"/>
    <col min="9222" max="9222" width="12.7109375" customWidth="1"/>
    <col min="9223" max="9223" width="11.140625" customWidth="1"/>
    <col min="9224" max="9224" width="11.5703125" customWidth="1"/>
    <col min="9225" max="9225" width="11" customWidth="1"/>
    <col min="9226" max="9226" width="11.140625" customWidth="1"/>
    <col min="9227" max="9227" width="12.42578125" customWidth="1"/>
    <col min="9474" max="9474" width="26.85546875" customWidth="1"/>
    <col min="9475" max="9475" width="12.42578125" customWidth="1"/>
    <col min="9476" max="9476" width="11.85546875" customWidth="1"/>
    <col min="9477" max="9477" width="11.7109375" customWidth="1"/>
    <col min="9478" max="9478" width="12.7109375" customWidth="1"/>
    <col min="9479" max="9479" width="11.140625" customWidth="1"/>
    <col min="9480" max="9480" width="11.5703125" customWidth="1"/>
    <col min="9481" max="9481" width="11" customWidth="1"/>
    <col min="9482" max="9482" width="11.140625" customWidth="1"/>
    <col min="9483" max="9483" width="12.42578125" customWidth="1"/>
    <col min="9730" max="9730" width="26.85546875" customWidth="1"/>
    <col min="9731" max="9731" width="12.42578125" customWidth="1"/>
    <col min="9732" max="9732" width="11.85546875" customWidth="1"/>
    <col min="9733" max="9733" width="11.7109375" customWidth="1"/>
    <col min="9734" max="9734" width="12.7109375" customWidth="1"/>
    <col min="9735" max="9735" width="11.140625" customWidth="1"/>
    <col min="9736" max="9736" width="11.5703125" customWidth="1"/>
    <col min="9737" max="9737" width="11" customWidth="1"/>
    <col min="9738" max="9738" width="11.140625" customWidth="1"/>
    <col min="9739" max="9739" width="12.42578125" customWidth="1"/>
    <col min="9986" max="9986" width="26.85546875" customWidth="1"/>
    <col min="9987" max="9987" width="12.42578125" customWidth="1"/>
    <col min="9988" max="9988" width="11.85546875" customWidth="1"/>
    <col min="9989" max="9989" width="11.7109375" customWidth="1"/>
    <col min="9990" max="9990" width="12.7109375" customWidth="1"/>
    <col min="9991" max="9991" width="11.140625" customWidth="1"/>
    <col min="9992" max="9992" width="11.5703125" customWidth="1"/>
    <col min="9993" max="9993" width="11" customWidth="1"/>
    <col min="9994" max="9994" width="11.140625" customWidth="1"/>
    <col min="9995" max="9995" width="12.42578125" customWidth="1"/>
    <col min="10242" max="10242" width="26.85546875" customWidth="1"/>
    <col min="10243" max="10243" width="12.42578125" customWidth="1"/>
    <col min="10244" max="10244" width="11.85546875" customWidth="1"/>
    <col min="10245" max="10245" width="11.7109375" customWidth="1"/>
    <col min="10246" max="10246" width="12.7109375" customWidth="1"/>
    <col min="10247" max="10247" width="11.140625" customWidth="1"/>
    <col min="10248" max="10248" width="11.5703125" customWidth="1"/>
    <col min="10249" max="10249" width="11" customWidth="1"/>
    <col min="10250" max="10250" width="11.140625" customWidth="1"/>
    <col min="10251" max="10251" width="12.42578125" customWidth="1"/>
    <col min="10498" max="10498" width="26.85546875" customWidth="1"/>
    <col min="10499" max="10499" width="12.42578125" customWidth="1"/>
    <col min="10500" max="10500" width="11.85546875" customWidth="1"/>
    <col min="10501" max="10501" width="11.7109375" customWidth="1"/>
    <col min="10502" max="10502" width="12.7109375" customWidth="1"/>
    <col min="10503" max="10503" width="11.140625" customWidth="1"/>
    <col min="10504" max="10504" width="11.5703125" customWidth="1"/>
    <col min="10505" max="10505" width="11" customWidth="1"/>
    <col min="10506" max="10506" width="11.140625" customWidth="1"/>
    <col min="10507" max="10507" width="12.42578125" customWidth="1"/>
    <col min="10754" max="10754" width="26.85546875" customWidth="1"/>
    <col min="10755" max="10755" width="12.42578125" customWidth="1"/>
    <col min="10756" max="10756" width="11.85546875" customWidth="1"/>
    <col min="10757" max="10757" width="11.7109375" customWidth="1"/>
    <col min="10758" max="10758" width="12.7109375" customWidth="1"/>
    <col min="10759" max="10759" width="11.140625" customWidth="1"/>
    <col min="10760" max="10760" width="11.5703125" customWidth="1"/>
    <col min="10761" max="10761" width="11" customWidth="1"/>
    <col min="10762" max="10762" width="11.140625" customWidth="1"/>
    <col min="10763" max="10763" width="12.42578125" customWidth="1"/>
    <col min="11010" max="11010" width="26.85546875" customWidth="1"/>
    <col min="11011" max="11011" width="12.42578125" customWidth="1"/>
    <col min="11012" max="11012" width="11.85546875" customWidth="1"/>
    <col min="11013" max="11013" width="11.7109375" customWidth="1"/>
    <col min="11014" max="11014" width="12.7109375" customWidth="1"/>
    <col min="11015" max="11015" width="11.140625" customWidth="1"/>
    <col min="11016" max="11016" width="11.5703125" customWidth="1"/>
    <col min="11017" max="11017" width="11" customWidth="1"/>
    <col min="11018" max="11018" width="11.140625" customWidth="1"/>
    <col min="11019" max="11019" width="12.42578125" customWidth="1"/>
    <col min="11266" max="11266" width="26.85546875" customWidth="1"/>
    <col min="11267" max="11267" width="12.42578125" customWidth="1"/>
    <col min="11268" max="11268" width="11.85546875" customWidth="1"/>
    <col min="11269" max="11269" width="11.7109375" customWidth="1"/>
    <col min="11270" max="11270" width="12.7109375" customWidth="1"/>
    <col min="11271" max="11271" width="11.140625" customWidth="1"/>
    <col min="11272" max="11272" width="11.5703125" customWidth="1"/>
    <col min="11273" max="11273" width="11" customWidth="1"/>
    <col min="11274" max="11274" width="11.140625" customWidth="1"/>
    <col min="11275" max="11275" width="12.42578125" customWidth="1"/>
    <col min="11522" max="11522" width="26.85546875" customWidth="1"/>
    <col min="11523" max="11523" width="12.42578125" customWidth="1"/>
    <col min="11524" max="11524" width="11.85546875" customWidth="1"/>
    <col min="11525" max="11525" width="11.7109375" customWidth="1"/>
    <col min="11526" max="11526" width="12.7109375" customWidth="1"/>
    <col min="11527" max="11527" width="11.140625" customWidth="1"/>
    <col min="11528" max="11528" width="11.5703125" customWidth="1"/>
    <col min="11529" max="11529" width="11" customWidth="1"/>
    <col min="11530" max="11530" width="11.140625" customWidth="1"/>
    <col min="11531" max="11531" width="12.42578125" customWidth="1"/>
    <col min="11778" max="11778" width="26.85546875" customWidth="1"/>
    <col min="11779" max="11779" width="12.42578125" customWidth="1"/>
    <col min="11780" max="11780" width="11.85546875" customWidth="1"/>
    <col min="11781" max="11781" width="11.7109375" customWidth="1"/>
    <col min="11782" max="11782" width="12.7109375" customWidth="1"/>
    <col min="11783" max="11783" width="11.140625" customWidth="1"/>
    <col min="11784" max="11784" width="11.5703125" customWidth="1"/>
    <col min="11785" max="11785" width="11" customWidth="1"/>
    <col min="11786" max="11786" width="11.140625" customWidth="1"/>
    <col min="11787" max="11787" width="12.42578125" customWidth="1"/>
    <col min="12034" max="12034" width="26.85546875" customWidth="1"/>
    <col min="12035" max="12035" width="12.42578125" customWidth="1"/>
    <col min="12036" max="12036" width="11.85546875" customWidth="1"/>
    <col min="12037" max="12037" width="11.7109375" customWidth="1"/>
    <col min="12038" max="12038" width="12.7109375" customWidth="1"/>
    <col min="12039" max="12039" width="11.140625" customWidth="1"/>
    <col min="12040" max="12040" width="11.5703125" customWidth="1"/>
    <col min="12041" max="12041" width="11" customWidth="1"/>
    <col min="12042" max="12042" width="11.140625" customWidth="1"/>
    <col min="12043" max="12043" width="12.42578125" customWidth="1"/>
    <col min="12290" max="12290" width="26.85546875" customWidth="1"/>
    <col min="12291" max="12291" width="12.42578125" customWidth="1"/>
    <col min="12292" max="12292" width="11.85546875" customWidth="1"/>
    <col min="12293" max="12293" width="11.7109375" customWidth="1"/>
    <col min="12294" max="12294" width="12.7109375" customWidth="1"/>
    <col min="12295" max="12295" width="11.140625" customWidth="1"/>
    <col min="12296" max="12296" width="11.5703125" customWidth="1"/>
    <col min="12297" max="12297" width="11" customWidth="1"/>
    <col min="12298" max="12298" width="11.140625" customWidth="1"/>
    <col min="12299" max="12299" width="12.42578125" customWidth="1"/>
    <col min="12546" max="12546" width="26.85546875" customWidth="1"/>
    <col min="12547" max="12547" width="12.42578125" customWidth="1"/>
    <col min="12548" max="12548" width="11.85546875" customWidth="1"/>
    <col min="12549" max="12549" width="11.7109375" customWidth="1"/>
    <col min="12550" max="12550" width="12.7109375" customWidth="1"/>
    <col min="12551" max="12551" width="11.140625" customWidth="1"/>
    <col min="12552" max="12552" width="11.5703125" customWidth="1"/>
    <col min="12553" max="12553" width="11" customWidth="1"/>
    <col min="12554" max="12554" width="11.140625" customWidth="1"/>
    <col min="12555" max="12555" width="12.42578125" customWidth="1"/>
    <col min="12802" max="12802" width="26.85546875" customWidth="1"/>
    <col min="12803" max="12803" width="12.42578125" customWidth="1"/>
    <col min="12804" max="12804" width="11.85546875" customWidth="1"/>
    <col min="12805" max="12805" width="11.7109375" customWidth="1"/>
    <col min="12806" max="12806" width="12.7109375" customWidth="1"/>
    <col min="12807" max="12807" width="11.140625" customWidth="1"/>
    <col min="12808" max="12808" width="11.5703125" customWidth="1"/>
    <col min="12809" max="12809" width="11" customWidth="1"/>
    <col min="12810" max="12810" width="11.140625" customWidth="1"/>
    <col min="12811" max="12811" width="12.42578125" customWidth="1"/>
    <col min="13058" max="13058" width="26.85546875" customWidth="1"/>
    <col min="13059" max="13059" width="12.42578125" customWidth="1"/>
    <col min="13060" max="13060" width="11.85546875" customWidth="1"/>
    <col min="13061" max="13061" width="11.7109375" customWidth="1"/>
    <col min="13062" max="13062" width="12.7109375" customWidth="1"/>
    <col min="13063" max="13063" width="11.140625" customWidth="1"/>
    <col min="13064" max="13064" width="11.5703125" customWidth="1"/>
    <col min="13065" max="13065" width="11" customWidth="1"/>
    <col min="13066" max="13066" width="11.140625" customWidth="1"/>
    <col min="13067" max="13067" width="12.42578125" customWidth="1"/>
    <col min="13314" max="13314" width="26.85546875" customWidth="1"/>
    <col min="13315" max="13315" width="12.42578125" customWidth="1"/>
    <col min="13316" max="13316" width="11.85546875" customWidth="1"/>
    <col min="13317" max="13317" width="11.7109375" customWidth="1"/>
    <col min="13318" max="13318" width="12.7109375" customWidth="1"/>
    <col min="13319" max="13319" width="11.140625" customWidth="1"/>
    <col min="13320" max="13320" width="11.5703125" customWidth="1"/>
    <col min="13321" max="13321" width="11" customWidth="1"/>
    <col min="13322" max="13322" width="11.140625" customWidth="1"/>
    <col min="13323" max="13323" width="12.42578125" customWidth="1"/>
    <col min="13570" max="13570" width="26.85546875" customWidth="1"/>
    <col min="13571" max="13571" width="12.42578125" customWidth="1"/>
    <col min="13572" max="13572" width="11.85546875" customWidth="1"/>
    <col min="13573" max="13573" width="11.7109375" customWidth="1"/>
    <col min="13574" max="13574" width="12.7109375" customWidth="1"/>
    <col min="13575" max="13575" width="11.140625" customWidth="1"/>
    <col min="13576" max="13576" width="11.5703125" customWidth="1"/>
    <col min="13577" max="13577" width="11" customWidth="1"/>
    <col min="13578" max="13578" width="11.140625" customWidth="1"/>
    <col min="13579" max="13579" width="12.42578125" customWidth="1"/>
    <col min="13826" max="13826" width="26.85546875" customWidth="1"/>
    <col min="13827" max="13827" width="12.42578125" customWidth="1"/>
    <col min="13828" max="13828" width="11.85546875" customWidth="1"/>
    <col min="13829" max="13829" width="11.7109375" customWidth="1"/>
    <col min="13830" max="13830" width="12.7109375" customWidth="1"/>
    <col min="13831" max="13831" width="11.140625" customWidth="1"/>
    <col min="13832" max="13832" width="11.5703125" customWidth="1"/>
    <col min="13833" max="13833" width="11" customWidth="1"/>
    <col min="13834" max="13834" width="11.140625" customWidth="1"/>
    <col min="13835" max="13835" width="12.42578125" customWidth="1"/>
    <col min="14082" max="14082" width="26.85546875" customWidth="1"/>
    <col min="14083" max="14083" width="12.42578125" customWidth="1"/>
    <col min="14084" max="14084" width="11.85546875" customWidth="1"/>
    <col min="14085" max="14085" width="11.7109375" customWidth="1"/>
    <col min="14086" max="14086" width="12.7109375" customWidth="1"/>
    <col min="14087" max="14087" width="11.140625" customWidth="1"/>
    <col min="14088" max="14088" width="11.5703125" customWidth="1"/>
    <col min="14089" max="14089" width="11" customWidth="1"/>
    <col min="14090" max="14090" width="11.140625" customWidth="1"/>
    <col min="14091" max="14091" width="12.42578125" customWidth="1"/>
    <col min="14338" max="14338" width="26.85546875" customWidth="1"/>
    <col min="14339" max="14339" width="12.42578125" customWidth="1"/>
    <col min="14340" max="14340" width="11.85546875" customWidth="1"/>
    <col min="14341" max="14341" width="11.7109375" customWidth="1"/>
    <col min="14342" max="14342" width="12.7109375" customWidth="1"/>
    <col min="14343" max="14343" width="11.140625" customWidth="1"/>
    <col min="14344" max="14344" width="11.5703125" customWidth="1"/>
    <col min="14345" max="14345" width="11" customWidth="1"/>
    <col min="14346" max="14346" width="11.140625" customWidth="1"/>
    <col min="14347" max="14347" width="12.42578125" customWidth="1"/>
    <col min="14594" max="14594" width="26.85546875" customWidth="1"/>
    <col min="14595" max="14595" width="12.42578125" customWidth="1"/>
    <col min="14596" max="14596" width="11.85546875" customWidth="1"/>
    <col min="14597" max="14597" width="11.7109375" customWidth="1"/>
    <col min="14598" max="14598" width="12.7109375" customWidth="1"/>
    <col min="14599" max="14599" width="11.140625" customWidth="1"/>
    <col min="14600" max="14600" width="11.5703125" customWidth="1"/>
    <col min="14601" max="14601" width="11" customWidth="1"/>
    <col min="14602" max="14602" width="11.140625" customWidth="1"/>
    <col min="14603" max="14603" width="12.42578125" customWidth="1"/>
    <col min="14850" max="14850" width="26.85546875" customWidth="1"/>
    <col min="14851" max="14851" width="12.42578125" customWidth="1"/>
    <col min="14852" max="14852" width="11.85546875" customWidth="1"/>
    <col min="14853" max="14853" width="11.7109375" customWidth="1"/>
    <col min="14854" max="14854" width="12.7109375" customWidth="1"/>
    <col min="14855" max="14855" width="11.140625" customWidth="1"/>
    <col min="14856" max="14856" width="11.5703125" customWidth="1"/>
    <col min="14857" max="14857" width="11" customWidth="1"/>
    <col min="14858" max="14858" width="11.140625" customWidth="1"/>
    <col min="14859" max="14859" width="12.42578125" customWidth="1"/>
    <col min="15106" max="15106" width="26.85546875" customWidth="1"/>
    <col min="15107" max="15107" width="12.42578125" customWidth="1"/>
    <col min="15108" max="15108" width="11.85546875" customWidth="1"/>
    <col min="15109" max="15109" width="11.7109375" customWidth="1"/>
    <col min="15110" max="15110" width="12.7109375" customWidth="1"/>
    <col min="15111" max="15111" width="11.140625" customWidth="1"/>
    <col min="15112" max="15112" width="11.5703125" customWidth="1"/>
    <col min="15113" max="15113" width="11" customWidth="1"/>
    <col min="15114" max="15114" width="11.140625" customWidth="1"/>
    <col min="15115" max="15115" width="12.42578125" customWidth="1"/>
    <col min="15362" max="15362" width="26.85546875" customWidth="1"/>
    <col min="15363" max="15363" width="12.42578125" customWidth="1"/>
    <col min="15364" max="15364" width="11.85546875" customWidth="1"/>
    <col min="15365" max="15365" width="11.7109375" customWidth="1"/>
    <col min="15366" max="15366" width="12.7109375" customWidth="1"/>
    <col min="15367" max="15367" width="11.140625" customWidth="1"/>
    <col min="15368" max="15368" width="11.5703125" customWidth="1"/>
    <col min="15369" max="15369" width="11" customWidth="1"/>
    <col min="15370" max="15370" width="11.140625" customWidth="1"/>
    <col min="15371" max="15371" width="12.42578125" customWidth="1"/>
    <col min="15618" max="15618" width="26.85546875" customWidth="1"/>
    <col min="15619" max="15619" width="12.42578125" customWidth="1"/>
    <col min="15620" max="15620" width="11.85546875" customWidth="1"/>
    <col min="15621" max="15621" width="11.7109375" customWidth="1"/>
    <col min="15622" max="15622" width="12.7109375" customWidth="1"/>
    <col min="15623" max="15623" width="11.140625" customWidth="1"/>
    <col min="15624" max="15624" width="11.5703125" customWidth="1"/>
    <col min="15625" max="15625" width="11" customWidth="1"/>
    <col min="15626" max="15626" width="11.140625" customWidth="1"/>
    <col min="15627" max="15627" width="12.42578125" customWidth="1"/>
    <col min="15874" max="15874" width="26.85546875" customWidth="1"/>
    <col min="15875" max="15875" width="12.42578125" customWidth="1"/>
    <col min="15876" max="15876" width="11.85546875" customWidth="1"/>
    <col min="15877" max="15877" width="11.7109375" customWidth="1"/>
    <col min="15878" max="15878" width="12.7109375" customWidth="1"/>
    <col min="15879" max="15879" width="11.140625" customWidth="1"/>
    <col min="15880" max="15880" width="11.5703125" customWidth="1"/>
    <col min="15881" max="15881" width="11" customWidth="1"/>
    <col min="15882" max="15882" width="11.140625" customWidth="1"/>
    <col min="15883" max="15883" width="12.42578125" customWidth="1"/>
    <col min="16130" max="16130" width="26.85546875" customWidth="1"/>
    <col min="16131" max="16131" width="12.42578125" customWidth="1"/>
    <col min="16132" max="16132" width="11.85546875" customWidth="1"/>
    <col min="16133" max="16133" width="11.7109375" customWidth="1"/>
    <col min="16134" max="16134" width="12.7109375" customWidth="1"/>
    <col min="16135" max="16135" width="11.140625" customWidth="1"/>
    <col min="16136" max="16136" width="11.5703125" customWidth="1"/>
    <col min="16137" max="16137" width="11" customWidth="1"/>
    <col min="16138" max="16138" width="11.140625" customWidth="1"/>
    <col min="16139" max="16139" width="12.42578125" customWidth="1"/>
  </cols>
  <sheetData>
    <row r="1" spans="1:11" ht="18.75" x14ac:dyDescent="0.3">
      <c r="A1" s="163"/>
      <c r="B1" s="163"/>
      <c r="C1" s="163"/>
      <c r="D1" s="169"/>
      <c r="E1" s="169"/>
      <c r="F1" s="169"/>
      <c r="G1" s="169"/>
      <c r="H1" s="518" t="s">
        <v>1359</v>
      </c>
      <c r="I1" s="518"/>
      <c r="J1" s="518"/>
      <c r="K1" s="518"/>
    </row>
    <row r="2" spans="1:11" ht="18.75" x14ac:dyDescent="0.3">
      <c r="A2" s="163"/>
      <c r="B2" s="163"/>
      <c r="C2" s="163"/>
      <c r="D2" s="169"/>
      <c r="E2" s="169"/>
      <c r="F2" s="169"/>
      <c r="G2" s="169"/>
      <c r="H2" s="518" t="s">
        <v>767</v>
      </c>
      <c r="I2" s="518"/>
      <c r="J2" s="518"/>
      <c r="K2" s="518"/>
    </row>
    <row r="3" spans="1:11" ht="18.75" x14ac:dyDescent="0.3">
      <c r="A3" s="163"/>
      <c r="B3" s="163"/>
      <c r="C3" s="163"/>
      <c r="D3" s="163"/>
      <c r="E3" s="163"/>
      <c r="F3" s="163"/>
      <c r="G3" s="163"/>
      <c r="H3" s="525" t="s">
        <v>1407</v>
      </c>
      <c r="I3" s="525"/>
      <c r="J3" s="525"/>
      <c r="K3" s="525"/>
    </row>
    <row r="4" spans="1:11" ht="18.75" x14ac:dyDescent="0.3">
      <c r="A4" s="163"/>
      <c r="B4" s="163"/>
      <c r="C4" s="163"/>
      <c r="D4" s="163"/>
      <c r="E4" s="163"/>
      <c r="F4" s="163"/>
      <c r="G4" s="163"/>
      <c r="H4" s="525" t="s">
        <v>1408</v>
      </c>
      <c r="I4" s="525"/>
      <c r="J4" s="525"/>
      <c r="K4" s="525"/>
    </row>
    <row r="5" spans="1:11" ht="18.75" x14ac:dyDescent="0.3">
      <c r="A5" s="163"/>
      <c r="B5" s="163"/>
      <c r="C5" s="163"/>
      <c r="D5" s="163"/>
      <c r="E5" s="163"/>
      <c r="F5" s="163"/>
      <c r="G5" s="163"/>
      <c r="H5" s="525" t="s">
        <v>1406</v>
      </c>
      <c r="I5" s="525"/>
      <c r="J5" s="525"/>
      <c r="K5" s="525"/>
    </row>
    <row r="6" spans="1:11" ht="18.75" x14ac:dyDescent="0.3">
      <c r="A6" s="163"/>
      <c r="B6" s="163"/>
      <c r="C6" s="163"/>
      <c r="D6" s="163"/>
      <c r="E6" s="163"/>
      <c r="F6" s="163"/>
      <c r="G6" s="163"/>
      <c r="H6" s="163"/>
      <c r="I6" s="163"/>
      <c r="J6" s="163"/>
      <c r="K6" s="164"/>
    </row>
    <row r="7" spans="1:11" ht="18.75" x14ac:dyDescent="0.3">
      <c r="A7" s="475" t="s">
        <v>769</v>
      </c>
      <c r="B7" s="475"/>
      <c r="C7" s="475"/>
      <c r="D7" s="475"/>
      <c r="E7" s="475"/>
      <c r="F7" s="475"/>
      <c r="G7" s="475"/>
      <c r="H7" s="475"/>
      <c r="I7" s="475"/>
      <c r="J7" s="475"/>
      <c r="K7" s="475"/>
    </row>
    <row r="8" spans="1:11" ht="17.45" x14ac:dyDescent="0.3">
      <c r="A8" s="165"/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1" x14ac:dyDescent="0.25">
      <c r="A9" s="476" t="s">
        <v>770</v>
      </c>
      <c r="B9" s="476" t="s">
        <v>771</v>
      </c>
      <c r="C9" s="474" t="s">
        <v>777</v>
      </c>
      <c r="D9" s="474"/>
      <c r="E9" s="474"/>
      <c r="F9" s="474"/>
      <c r="G9" s="474"/>
      <c r="H9" s="474"/>
      <c r="I9" s="474"/>
      <c r="J9" s="474"/>
      <c r="K9" s="474"/>
    </row>
    <row r="10" spans="1:11" x14ac:dyDescent="0.25">
      <c r="A10" s="476"/>
      <c r="B10" s="476"/>
      <c r="C10" s="474"/>
      <c r="D10" s="474"/>
      <c r="E10" s="474"/>
      <c r="F10" s="474"/>
      <c r="G10" s="474"/>
      <c r="H10" s="474"/>
      <c r="I10" s="474"/>
      <c r="J10" s="474"/>
      <c r="K10" s="474"/>
    </row>
    <row r="11" spans="1:11" ht="15.75" x14ac:dyDescent="0.25">
      <c r="A11" s="476"/>
      <c r="B11" s="476"/>
      <c r="C11" s="474" t="s">
        <v>3</v>
      </c>
      <c r="D11" s="474" t="s">
        <v>291</v>
      </c>
      <c r="E11" s="474"/>
      <c r="F11" s="474" t="s">
        <v>4</v>
      </c>
      <c r="G11" s="474" t="s">
        <v>291</v>
      </c>
      <c r="H11" s="474"/>
      <c r="I11" s="474" t="s">
        <v>5</v>
      </c>
      <c r="J11" s="474" t="s">
        <v>291</v>
      </c>
      <c r="K11" s="474"/>
    </row>
    <row r="12" spans="1:11" ht="47.25" x14ac:dyDescent="0.25">
      <c r="A12" s="476"/>
      <c r="B12" s="476"/>
      <c r="C12" s="474"/>
      <c r="D12" s="166" t="s">
        <v>773</v>
      </c>
      <c r="E12" s="166" t="s">
        <v>774</v>
      </c>
      <c r="F12" s="474"/>
      <c r="G12" s="166" t="s">
        <v>773</v>
      </c>
      <c r="H12" s="166" t="s">
        <v>774</v>
      </c>
      <c r="I12" s="474"/>
      <c r="J12" s="166" t="s">
        <v>773</v>
      </c>
      <c r="K12" s="166" t="s">
        <v>774</v>
      </c>
    </row>
    <row r="13" spans="1:11" ht="56.25" x14ac:dyDescent="0.25">
      <c r="A13" s="170">
        <v>1</v>
      </c>
      <c r="B13" s="167" t="s">
        <v>368</v>
      </c>
      <c r="C13" s="171">
        <f>D13+E13</f>
        <v>1428</v>
      </c>
      <c r="D13" s="172"/>
      <c r="E13" s="171">
        <v>1428</v>
      </c>
      <c r="F13" s="171"/>
      <c r="G13" s="172"/>
      <c r="H13" s="171"/>
      <c r="I13" s="173"/>
      <c r="J13" s="173"/>
      <c r="K13" s="173"/>
    </row>
    <row r="14" spans="1:11" ht="94.9" customHeight="1" x14ac:dyDescent="0.25">
      <c r="A14" s="170">
        <v>2</v>
      </c>
      <c r="B14" s="167" t="s">
        <v>775</v>
      </c>
      <c r="C14" s="171">
        <f>D14+E14</f>
        <v>270.3</v>
      </c>
      <c r="D14" s="172"/>
      <c r="E14" s="174">
        <v>270.3</v>
      </c>
      <c r="F14" s="171"/>
      <c r="G14" s="172"/>
      <c r="H14" s="174"/>
      <c r="I14" s="173"/>
      <c r="J14" s="173"/>
      <c r="K14" s="173"/>
    </row>
    <row r="15" spans="1:11" ht="93.75" customHeight="1" x14ac:dyDescent="0.25">
      <c r="A15" s="170">
        <v>3</v>
      </c>
      <c r="B15" s="167" t="s">
        <v>118</v>
      </c>
      <c r="C15" s="171">
        <f>D15+E15</f>
        <v>72008.100000000006</v>
      </c>
      <c r="D15" s="172">
        <v>58338.9</v>
      </c>
      <c r="E15" s="171">
        <v>13669.2</v>
      </c>
      <c r="F15" s="171">
        <f>G15+H15</f>
        <v>10359.5</v>
      </c>
      <c r="G15" s="172">
        <v>10359.5</v>
      </c>
      <c r="H15" s="171"/>
      <c r="I15" s="173"/>
      <c r="J15" s="173"/>
      <c r="K15" s="173"/>
    </row>
    <row r="16" spans="1:11" ht="80.25" customHeight="1" x14ac:dyDescent="0.25">
      <c r="A16" s="170">
        <v>4</v>
      </c>
      <c r="B16" s="167" t="s">
        <v>122</v>
      </c>
      <c r="C16" s="173"/>
      <c r="D16" s="173"/>
      <c r="E16" s="173"/>
      <c r="F16" s="173"/>
      <c r="G16" s="173"/>
      <c r="H16" s="173"/>
      <c r="I16" s="173">
        <f>SUM(J16:K16)</f>
        <v>54760</v>
      </c>
      <c r="J16" s="173">
        <v>49646</v>
      </c>
      <c r="K16" s="173">
        <v>5114</v>
      </c>
    </row>
    <row r="17" spans="1:11" ht="267.75" customHeight="1" x14ac:dyDescent="0.25">
      <c r="A17" s="170">
        <v>5</v>
      </c>
      <c r="B17" s="167" t="s">
        <v>237</v>
      </c>
      <c r="C17" s="173">
        <f>D17</f>
        <v>2760.9</v>
      </c>
      <c r="D17" s="173">
        <v>2760.9</v>
      </c>
      <c r="E17" s="173"/>
      <c r="F17" s="173">
        <f>G17</f>
        <v>2760.9</v>
      </c>
      <c r="G17" s="173">
        <v>2760.9</v>
      </c>
      <c r="H17" s="173"/>
      <c r="I17" s="173">
        <f>J17</f>
        <v>5521.8</v>
      </c>
      <c r="J17" s="173">
        <v>5521.8</v>
      </c>
      <c r="K17" s="173"/>
    </row>
    <row r="18" spans="1:11" ht="168.75" customHeight="1" x14ac:dyDescent="0.25">
      <c r="A18" s="170">
        <v>6</v>
      </c>
      <c r="B18" s="167" t="s">
        <v>505</v>
      </c>
      <c r="C18" s="173"/>
      <c r="D18" s="173"/>
      <c r="E18" s="173"/>
      <c r="F18" s="173"/>
      <c r="G18" s="173"/>
      <c r="H18" s="173"/>
      <c r="I18" s="173">
        <f>J18</f>
        <v>8959.7000000000007</v>
      </c>
      <c r="J18" s="173">
        <v>8959.7000000000007</v>
      </c>
      <c r="K18" s="173"/>
    </row>
    <row r="19" spans="1:11" ht="18.75" x14ac:dyDescent="0.3">
      <c r="A19" s="168"/>
      <c r="B19" s="168" t="s">
        <v>776</v>
      </c>
      <c r="C19" s="175">
        <f t="shared" ref="C19:G19" si="0">SUM(C13:C18)</f>
        <v>76467.3</v>
      </c>
      <c r="D19" s="175">
        <f>SUM(D13:D18)</f>
        <v>61099.8</v>
      </c>
      <c r="E19" s="175">
        <f t="shared" si="0"/>
        <v>15367.5</v>
      </c>
      <c r="F19" s="175">
        <f t="shared" si="0"/>
        <v>13120.4</v>
      </c>
      <c r="G19" s="175">
        <f t="shared" si="0"/>
        <v>13120.4</v>
      </c>
      <c r="H19" s="175">
        <f t="shared" ref="H19" si="1">SUM(H13:H16)</f>
        <v>0</v>
      </c>
      <c r="I19" s="175">
        <f>SUM(I13:I18)</f>
        <v>69241.5</v>
      </c>
      <c r="J19" s="175">
        <f>SUM(J13:J18)</f>
        <v>64127.5</v>
      </c>
      <c r="K19" s="175">
        <f>SUM(K13:K18)</f>
        <v>5114</v>
      </c>
    </row>
  </sheetData>
  <mergeCells count="15">
    <mergeCell ref="H4:K4"/>
    <mergeCell ref="I11:I12"/>
    <mergeCell ref="J11:K11"/>
    <mergeCell ref="A7:K7"/>
    <mergeCell ref="A9:A12"/>
    <mergeCell ref="B9:B12"/>
    <mergeCell ref="C9:K10"/>
    <mergeCell ref="C11:C12"/>
    <mergeCell ref="D11:E11"/>
    <mergeCell ref="F11:F12"/>
    <mergeCell ref="G11:H11"/>
    <mergeCell ref="H1:K1"/>
    <mergeCell ref="H2:K2"/>
    <mergeCell ref="H3:K3"/>
    <mergeCell ref="H5:K5"/>
  </mergeCells>
  <pageMargins left="0.70866141732283472" right="0.70866141732283472" top="1.1417322834645669" bottom="0.35433070866141736" header="0.31496062992125984" footer="0.31496062992125984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view="pageBreakPreview" zoomScale="60" workbookViewId="0">
      <selection activeCell="G5" sqref="G5"/>
    </sheetView>
  </sheetViews>
  <sheetFormatPr defaultRowHeight="15" x14ac:dyDescent="0.25"/>
  <cols>
    <col min="1" max="1" width="8.7109375" customWidth="1"/>
    <col min="2" max="2" width="53.42578125" customWidth="1"/>
    <col min="3" max="3" width="15.7109375" customWidth="1"/>
    <col min="4" max="4" width="15.85546875" customWidth="1"/>
    <col min="5" max="5" width="15.5703125" customWidth="1"/>
    <col min="6" max="6" width="17" customWidth="1"/>
    <col min="7" max="7" width="17.85546875" customWidth="1"/>
    <col min="8" max="8" width="14.5703125" customWidth="1"/>
    <col min="9" max="9" width="15.140625" customWidth="1"/>
    <col min="10" max="10" width="17.140625" customWidth="1"/>
    <col min="11" max="11" width="15.7109375" customWidth="1"/>
    <col min="12" max="12" width="13.5703125" bestFit="1" customWidth="1"/>
    <col min="257" max="257" width="8.7109375" customWidth="1"/>
    <col min="258" max="258" width="53.42578125" customWidth="1"/>
    <col min="259" max="259" width="15.7109375" customWidth="1"/>
    <col min="260" max="260" width="15.85546875" customWidth="1"/>
    <col min="261" max="261" width="15.5703125" customWidth="1"/>
    <col min="262" max="262" width="17" customWidth="1"/>
    <col min="263" max="263" width="17.85546875" customWidth="1"/>
    <col min="264" max="264" width="14.5703125" customWidth="1"/>
    <col min="265" max="265" width="15.140625" customWidth="1"/>
    <col min="266" max="266" width="17.140625" customWidth="1"/>
    <col min="267" max="267" width="15.7109375" customWidth="1"/>
    <col min="268" max="268" width="13.5703125" bestFit="1" customWidth="1"/>
    <col min="513" max="513" width="8.7109375" customWidth="1"/>
    <col min="514" max="514" width="53.42578125" customWidth="1"/>
    <col min="515" max="515" width="15.7109375" customWidth="1"/>
    <col min="516" max="516" width="15.85546875" customWidth="1"/>
    <col min="517" max="517" width="15.5703125" customWidth="1"/>
    <col min="518" max="518" width="17" customWidth="1"/>
    <col min="519" max="519" width="17.85546875" customWidth="1"/>
    <col min="520" max="520" width="14.5703125" customWidth="1"/>
    <col min="521" max="521" width="15.140625" customWidth="1"/>
    <col min="522" max="522" width="17.140625" customWidth="1"/>
    <col min="523" max="523" width="15.7109375" customWidth="1"/>
    <col min="524" max="524" width="13.5703125" bestFit="1" customWidth="1"/>
    <col min="769" max="769" width="8.7109375" customWidth="1"/>
    <col min="770" max="770" width="53.42578125" customWidth="1"/>
    <col min="771" max="771" width="15.7109375" customWidth="1"/>
    <col min="772" max="772" width="15.85546875" customWidth="1"/>
    <col min="773" max="773" width="15.5703125" customWidth="1"/>
    <col min="774" max="774" width="17" customWidth="1"/>
    <col min="775" max="775" width="17.85546875" customWidth="1"/>
    <col min="776" max="776" width="14.5703125" customWidth="1"/>
    <col min="777" max="777" width="15.140625" customWidth="1"/>
    <col min="778" max="778" width="17.140625" customWidth="1"/>
    <col min="779" max="779" width="15.7109375" customWidth="1"/>
    <col min="780" max="780" width="13.5703125" bestFit="1" customWidth="1"/>
    <col min="1025" max="1025" width="8.7109375" customWidth="1"/>
    <col min="1026" max="1026" width="53.42578125" customWidth="1"/>
    <col min="1027" max="1027" width="15.7109375" customWidth="1"/>
    <col min="1028" max="1028" width="15.85546875" customWidth="1"/>
    <col min="1029" max="1029" width="15.5703125" customWidth="1"/>
    <col min="1030" max="1030" width="17" customWidth="1"/>
    <col min="1031" max="1031" width="17.85546875" customWidth="1"/>
    <col min="1032" max="1032" width="14.5703125" customWidth="1"/>
    <col min="1033" max="1033" width="15.140625" customWidth="1"/>
    <col min="1034" max="1034" width="17.140625" customWidth="1"/>
    <col min="1035" max="1035" width="15.7109375" customWidth="1"/>
    <col min="1036" max="1036" width="13.5703125" bestFit="1" customWidth="1"/>
    <col min="1281" max="1281" width="8.7109375" customWidth="1"/>
    <col min="1282" max="1282" width="53.42578125" customWidth="1"/>
    <col min="1283" max="1283" width="15.7109375" customWidth="1"/>
    <col min="1284" max="1284" width="15.85546875" customWidth="1"/>
    <col min="1285" max="1285" width="15.5703125" customWidth="1"/>
    <col min="1286" max="1286" width="17" customWidth="1"/>
    <col min="1287" max="1287" width="17.85546875" customWidth="1"/>
    <col min="1288" max="1288" width="14.5703125" customWidth="1"/>
    <col min="1289" max="1289" width="15.140625" customWidth="1"/>
    <col min="1290" max="1290" width="17.140625" customWidth="1"/>
    <col min="1291" max="1291" width="15.7109375" customWidth="1"/>
    <col min="1292" max="1292" width="13.5703125" bestFit="1" customWidth="1"/>
    <col min="1537" max="1537" width="8.7109375" customWidth="1"/>
    <col min="1538" max="1538" width="53.42578125" customWidth="1"/>
    <col min="1539" max="1539" width="15.7109375" customWidth="1"/>
    <col min="1540" max="1540" width="15.85546875" customWidth="1"/>
    <col min="1541" max="1541" width="15.5703125" customWidth="1"/>
    <col min="1542" max="1542" width="17" customWidth="1"/>
    <col min="1543" max="1543" width="17.85546875" customWidth="1"/>
    <col min="1544" max="1544" width="14.5703125" customWidth="1"/>
    <col min="1545" max="1545" width="15.140625" customWidth="1"/>
    <col min="1546" max="1546" width="17.140625" customWidth="1"/>
    <col min="1547" max="1547" width="15.7109375" customWidth="1"/>
    <col min="1548" max="1548" width="13.5703125" bestFit="1" customWidth="1"/>
    <col min="1793" max="1793" width="8.7109375" customWidth="1"/>
    <col min="1794" max="1794" width="53.42578125" customWidth="1"/>
    <col min="1795" max="1795" width="15.7109375" customWidth="1"/>
    <col min="1796" max="1796" width="15.85546875" customWidth="1"/>
    <col min="1797" max="1797" width="15.5703125" customWidth="1"/>
    <col min="1798" max="1798" width="17" customWidth="1"/>
    <col min="1799" max="1799" width="17.85546875" customWidth="1"/>
    <col min="1800" max="1800" width="14.5703125" customWidth="1"/>
    <col min="1801" max="1801" width="15.140625" customWidth="1"/>
    <col min="1802" max="1802" width="17.140625" customWidth="1"/>
    <col min="1803" max="1803" width="15.7109375" customWidth="1"/>
    <col min="1804" max="1804" width="13.5703125" bestFit="1" customWidth="1"/>
    <col min="2049" max="2049" width="8.7109375" customWidth="1"/>
    <col min="2050" max="2050" width="53.42578125" customWidth="1"/>
    <col min="2051" max="2051" width="15.7109375" customWidth="1"/>
    <col min="2052" max="2052" width="15.85546875" customWidth="1"/>
    <col min="2053" max="2053" width="15.5703125" customWidth="1"/>
    <col min="2054" max="2054" width="17" customWidth="1"/>
    <col min="2055" max="2055" width="17.85546875" customWidth="1"/>
    <col min="2056" max="2056" width="14.5703125" customWidth="1"/>
    <col min="2057" max="2057" width="15.140625" customWidth="1"/>
    <col min="2058" max="2058" width="17.140625" customWidth="1"/>
    <col min="2059" max="2059" width="15.7109375" customWidth="1"/>
    <col min="2060" max="2060" width="13.5703125" bestFit="1" customWidth="1"/>
    <col min="2305" max="2305" width="8.7109375" customWidth="1"/>
    <col min="2306" max="2306" width="53.42578125" customWidth="1"/>
    <col min="2307" max="2307" width="15.7109375" customWidth="1"/>
    <col min="2308" max="2308" width="15.85546875" customWidth="1"/>
    <col min="2309" max="2309" width="15.5703125" customWidth="1"/>
    <col min="2310" max="2310" width="17" customWidth="1"/>
    <col min="2311" max="2311" width="17.85546875" customWidth="1"/>
    <col min="2312" max="2312" width="14.5703125" customWidth="1"/>
    <col min="2313" max="2313" width="15.140625" customWidth="1"/>
    <col min="2314" max="2314" width="17.140625" customWidth="1"/>
    <col min="2315" max="2315" width="15.7109375" customWidth="1"/>
    <col min="2316" max="2316" width="13.5703125" bestFit="1" customWidth="1"/>
    <col min="2561" max="2561" width="8.7109375" customWidth="1"/>
    <col min="2562" max="2562" width="53.42578125" customWidth="1"/>
    <col min="2563" max="2563" width="15.7109375" customWidth="1"/>
    <col min="2564" max="2564" width="15.85546875" customWidth="1"/>
    <col min="2565" max="2565" width="15.5703125" customWidth="1"/>
    <col min="2566" max="2566" width="17" customWidth="1"/>
    <col min="2567" max="2567" width="17.85546875" customWidth="1"/>
    <col min="2568" max="2568" width="14.5703125" customWidth="1"/>
    <col min="2569" max="2569" width="15.140625" customWidth="1"/>
    <col min="2570" max="2570" width="17.140625" customWidth="1"/>
    <col min="2571" max="2571" width="15.7109375" customWidth="1"/>
    <col min="2572" max="2572" width="13.5703125" bestFit="1" customWidth="1"/>
    <col min="2817" max="2817" width="8.7109375" customWidth="1"/>
    <col min="2818" max="2818" width="53.42578125" customWidth="1"/>
    <col min="2819" max="2819" width="15.7109375" customWidth="1"/>
    <col min="2820" max="2820" width="15.85546875" customWidth="1"/>
    <col min="2821" max="2821" width="15.5703125" customWidth="1"/>
    <col min="2822" max="2822" width="17" customWidth="1"/>
    <col min="2823" max="2823" width="17.85546875" customWidth="1"/>
    <col min="2824" max="2824" width="14.5703125" customWidth="1"/>
    <col min="2825" max="2825" width="15.140625" customWidth="1"/>
    <col min="2826" max="2826" width="17.140625" customWidth="1"/>
    <col min="2827" max="2827" width="15.7109375" customWidth="1"/>
    <col min="2828" max="2828" width="13.5703125" bestFit="1" customWidth="1"/>
    <col min="3073" max="3073" width="8.7109375" customWidth="1"/>
    <col min="3074" max="3074" width="53.42578125" customWidth="1"/>
    <col min="3075" max="3075" width="15.7109375" customWidth="1"/>
    <col min="3076" max="3076" width="15.85546875" customWidth="1"/>
    <col min="3077" max="3077" width="15.5703125" customWidth="1"/>
    <col min="3078" max="3078" width="17" customWidth="1"/>
    <col min="3079" max="3079" width="17.85546875" customWidth="1"/>
    <col min="3080" max="3080" width="14.5703125" customWidth="1"/>
    <col min="3081" max="3081" width="15.140625" customWidth="1"/>
    <col min="3082" max="3082" width="17.140625" customWidth="1"/>
    <col min="3083" max="3083" width="15.7109375" customWidth="1"/>
    <col min="3084" max="3084" width="13.5703125" bestFit="1" customWidth="1"/>
    <col min="3329" max="3329" width="8.7109375" customWidth="1"/>
    <col min="3330" max="3330" width="53.42578125" customWidth="1"/>
    <col min="3331" max="3331" width="15.7109375" customWidth="1"/>
    <col min="3332" max="3332" width="15.85546875" customWidth="1"/>
    <col min="3333" max="3333" width="15.5703125" customWidth="1"/>
    <col min="3334" max="3334" width="17" customWidth="1"/>
    <col min="3335" max="3335" width="17.85546875" customWidth="1"/>
    <col min="3336" max="3336" width="14.5703125" customWidth="1"/>
    <col min="3337" max="3337" width="15.140625" customWidth="1"/>
    <col min="3338" max="3338" width="17.140625" customWidth="1"/>
    <col min="3339" max="3339" width="15.7109375" customWidth="1"/>
    <col min="3340" max="3340" width="13.5703125" bestFit="1" customWidth="1"/>
    <col min="3585" max="3585" width="8.7109375" customWidth="1"/>
    <col min="3586" max="3586" width="53.42578125" customWidth="1"/>
    <col min="3587" max="3587" width="15.7109375" customWidth="1"/>
    <col min="3588" max="3588" width="15.85546875" customWidth="1"/>
    <col min="3589" max="3589" width="15.5703125" customWidth="1"/>
    <col min="3590" max="3590" width="17" customWidth="1"/>
    <col min="3591" max="3591" width="17.85546875" customWidth="1"/>
    <col min="3592" max="3592" width="14.5703125" customWidth="1"/>
    <col min="3593" max="3593" width="15.140625" customWidth="1"/>
    <col min="3594" max="3594" width="17.140625" customWidth="1"/>
    <col min="3595" max="3595" width="15.7109375" customWidth="1"/>
    <col min="3596" max="3596" width="13.5703125" bestFit="1" customWidth="1"/>
    <col min="3841" max="3841" width="8.7109375" customWidth="1"/>
    <col min="3842" max="3842" width="53.42578125" customWidth="1"/>
    <col min="3843" max="3843" width="15.7109375" customWidth="1"/>
    <col min="3844" max="3844" width="15.85546875" customWidth="1"/>
    <col min="3845" max="3845" width="15.5703125" customWidth="1"/>
    <col min="3846" max="3846" width="17" customWidth="1"/>
    <col min="3847" max="3847" width="17.85546875" customWidth="1"/>
    <col min="3848" max="3848" width="14.5703125" customWidth="1"/>
    <col min="3849" max="3849" width="15.140625" customWidth="1"/>
    <col min="3850" max="3850" width="17.140625" customWidth="1"/>
    <col min="3851" max="3851" width="15.7109375" customWidth="1"/>
    <col min="3852" max="3852" width="13.5703125" bestFit="1" customWidth="1"/>
    <col min="4097" max="4097" width="8.7109375" customWidth="1"/>
    <col min="4098" max="4098" width="53.42578125" customWidth="1"/>
    <col min="4099" max="4099" width="15.7109375" customWidth="1"/>
    <col min="4100" max="4100" width="15.85546875" customWidth="1"/>
    <col min="4101" max="4101" width="15.5703125" customWidth="1"/>
    <col min="4102" max="4102" width="17" customWidth="1"/>
    <col min="4103" max="4103" width="17.85546875" customWidth="1"/>
    <col min="4104" max="4104" width="14.5703125" customWidth="1"/>
    <col min="4105" max="4105" width="15.140625" customWidth="1"/>
    <col min="4106" max="4106" width="17.140625" customWidth="1"/>
    <col min="4107" max="4107" width="15.7109375" customWidth="1"/>
    <col min="4108" max="4108" width="13.5703125" bestFit="1" customWidth="1"/>
    <col min="4353" max="4353" width="8.7109375" customWidth="1"/>
    <col min="4354" max="4354" width="53.42578125" customWidth="1"/>
    <col min="4355" max="4355" width="15.7109375" customWidth="1"/>
    <col min="4356" max="4356" width="15.85546875" customWidth="1"/>
    <col min="4357" max="4357" width="15.5703125" customWidth="1"/>
    <col min="4358" max="4358" width="17" customWidth="1"/>
    <col min="4359" max="4359" width="17.85546875" customWidth="1"/>
    <col min="4360" max="4360" width="14.5703125" customWidth="1"/>
    <col min="4361" max="4361" width="15.140625" customWidth="1"/>
    <col min="4362" max="4362" width="17.140625" customWidth="1"/>
    <col min="4363" max="4363" width="15.7109375" customWidth="1"/>
    <col min="4364" max="4364" width="13.5703125" bestFit="1" customWidth="1"/>
    <col min="4609" max="4609" width="8.7109375" customWidth="1"/>
    <col min="4610" max="4610" width="53.42578125" customWidth="1"/>
    <col min="4611" max="4611" width="15.7109375" customWidth="1"/>
    <col min="4612" max="4612" width="15.85546875" customWidth="1"/>
    <col min="4613" max="4613" width="15.5703125" customWidth="1"/>
    <col min="4614" max="4614" width="17" customWidth="1"/>
    <col min="4615" max="4615" width="17.85546875" customWidth="1"/>
    <col min="4616" max="4616" width="14.5703125" customWidth="1"/>
    <col min="4617" max="4617" width="15.140625" customWidth="1"/>
    <col min="4618" max="4618" width="17.140625" customWidth="1"/>
    <col min="4619" max="4619" width="15.7109375" customWidth="1"/>
    <col min="4620" max="4620" width="13.5703125" bestFit="1" customWidth="1"/>
    <col min="4865" max="4865" width="8.7109375" customWidth="1"/>
    <col min="4866" max="4866" width="53.42578125" customWidth="1"/>
    <col min="4867" max="4867" width="15.7109375" customWidth="1"/>
    <col min="4868" max="4868" width="15.85546875" customWidth="1"/>
    <col min="4869" max="4869" width="15.5703125" customWidth="1"/>
    <col min="4870" max="4870" width="17" customWidth="1"/>
    <col min="4871" max="4871" width="17.85546875" customWidth="1"/>
    <col min="4872" max="4872" width="14.5703125" customWidth="1"/>
    <col min="4873" max="4873" width="15.140625" customWidth="1"/>
    <col min="4874" max="4874" width="17.140625" customWidth="1"/>
    <col min="4875" max="4875" width="15.7109375" customWidth="1"/>
    <col min="4876" max="4876" width="13.5703125" bestFit="1" customWidth="1"/>
    <col min="5121" max="5121" width="8.7109375" customWidth="1"/>
    <col min="5122" max="5122" width="53.42578125" customWidth="1"/>
    <col min="5123" max="5123" width="15.7109375" customWidth="1"/>
    <col min="5124" max="5124" width="15.85546875" customWidth="1"/>
    <col min="5125" max="5125" width="15.5703125" customWidth="1"/>
    <col min="5126" max="5126" width="17" customWidth="1"/>
    <col min="5127" max="5127" width="17.85546875" customWidth="1"/>
    <col min="5128" max="5128" width="14.5703125" customWidth="1"/>
    <col min="5129" max="5129" width="15.140625" customWidth="1"/>
    <col min="5130" max="5130" width="17.140625" customWidth="1"/>
    <col min="5131" max="5131" width="15.7109375" customWidth="1"/>
    <col min="5132" max="5132" width="13.5703125" bestFit="1" customWidth="1"/>
    <col min="5377" max="5377" width="8.7109375" customWidth="1"/>
    <col min="5378" max="5378" width="53.42578125" customWidth="1"/>
    <col min="5379" max="5379" width="15.7109375" customWidth="1"/>
    <col min="5380" max="5380" width="15.85546875" customWidth="1"/>
    <col min="5381" max="5381" width="15.5703125" customWidth="1"/>
    <col min="5382" max="5382" width="17" customWidth="1"/>
    <col min="5383" max="5383" width="17.85546875" customWidth="1"/>
    <col min="5384" max="5384" width="14.5703125" customWidth="1"/>
    <col min="5385" max="5385" width="15.140625" customWidth="1"/>
    <col min="5386" max="5386" width="17.140625" customWidth="1"/>
    <col min="5387" max="5387" width="15.7109375" customWidth="1"/>
    <col min="5388" max="5388" width="13.5703125" bestFit="1" customWidth="1"/>
    <col min="5633" max="5633" width="8.7109375" customWidth="1"/>
    <col min="5634" max="5634" width="53.42578125" customWidth="1"/>
    <col min="5635" max="5635" width="15.7109375" customWidth="1"/>
    <col min="5636" max="5636" width="15.85546875" customWidth="1"/>
    <col min="5637" max="5637" width="15.5703125" customWidth="1"/>
    <col min="5638" max="5638" width="17" customWidth="1"/>
    <col min="5639" max="5639" width="17.85546875" customWidth="1"/>
    <col min="5640" max="5640" width="14.5703125" customWidth="1"/>
    <col min="5641" max="5641" width="15.140625" customWidth="1"/>
    <col min="5642" max="5642" width="17.140625" customWidth="1"/>
    <col min="5643" max="5643" width="15.7109375" customWidth="1"/>
    <col min="5644" max="5644" width="13.5703125" bestFit="1" customWidth="1"/>
    <col min="5889" max="5889" width="8.7109375" customWidth="1"/>
    <col min="5890" max="5890" width="53.42578125" customWidth="1"/>
    <col min="5891" max="5891" width="15.7109375" customWidth="1"/>
    <col min="5892" max="5892" width="15.85546875" customWidth="1"/>
    <col min="5893" max="5893" width="15.5703125" customWidth="1"/>
    <col min="5894" max="5894" width="17" customWidth="1"/>
    <col min="5895" max="5895" width="17.85546875" customWidth="1"/>
    <col min="5896" max="5896" width="14.5703125" customWidth="1"/>
    <col min="5897" max="5897" width="15.140625" customWidth="1"/>
    <col min="5898" max="5898" width="17.140625" customWidth="1"/>
    <col min="5899" max="5899" width="15.7109375" customWidth="1"/>
    <col min="5900" max="5900" width="13.5703125" bestFit="1" customWidth="1"/>
    <col min="6145" max="6145" width="8.7109375" customWidth="1"/>
    <col min="6146" max="6146" width="53.42578125" customWidth="1"/>
    <col min="6147" max="6147" width="15.7109375" customWidth="1"/>
    <col min="6148" max="6148" width="15.85546875" customWidth="1"/>
    <col min="6149" max="6149" width="15.5703125" customWidth="1"/>
    <col min="6150" max="6150" width="17" customWidth="1"/>
    <col min="6151" max="6151" width="17.85546875" customWidth="1"/>
    <col min="6152" max="6152" width="14.5703125" customWidth="1"/>
    <col min="6153" max="6153" width="15.140625" customWidth="1"/>
    <col min="6154" max="6154" width="17.140625" customWidth="1"/>
    <col min="6155" max="6155" width="15.7109375" customWidth="1"/>
    <col min="6156" max="6156" width="13.5703125" bestFit="1" customWidth="1"/>
    <col min="6401" max="6401" width="8.7109375" customWidth="1"/>
    <col min="6402" max="6402" width="53.42578125" customWidth="1"/>
    <col min="6403" max="6403" width="15.7109375" customWidth="1"/>
    <col min="6404" max="6404" width="15.85546875" customWidth="1"/>
    <col min="6405" max="6405" width="15.5703125" customWidth="1"/>
    <col min="6406" max="6406" width="17" customWidth="1"/>
    <col min="6407" max="6407" width="17.85546875" customWidth="1"/>
    <col min="6408" max="6408" width="14.5703125" customWidth="1"/>
    <col min="6409" max="6409" width="15.140625" customWidth="1"/>
    <col min="6410" max="6410" width="17.140625" customWidth="1"/>
    <col min="6411" max="6411" width="15.7109375" customWidth="1"/>
    <col min="6412" max="6412" width="13.5703125" bestFit="1" customWidth="1"/>
    <col min="6657" max="6657" width="8.7109375" customWidth="1"/>
    <col min="6658" max="6658" width="53.42578125" customWidth="1"/>
    <col min="6659" max="6659" width="15.7109375" customWidth="1"/>
    <col min="6660" max="6660" width="15.85546875" customWidth="1"/>
    <col min="6661" max="6661" width="15.5703125" customWidth="1"/>
    <col min="6662" max="6662" width="17" customWidth="1"/>
    <col min="6663" max="6663" width="17.85546875" customWidth="1"/>
    <col min="6664" max="6664" width="14.5703125" customWidth="1"/>
    <col min="6665" max="6665" width="15.140625" customWidth="1"/>
    <col min="6666" max="6666" width="17.140625" customWidth="1"/>
    <col min="6667" max="6667" width="15.7109375" customWidth="1"/>
    <col min="6668" max="6668" width="13.5703125" bestFit="1" customWidth="1"/>
    <col min="6913" max="6913" width="8.7109375" customWidth="1"/>
    <col min="6914" max="6914" width="53.42578125" customWidth="1"/>
    <col min="6915" max="6915" width="15.7109375" customWidth="1"/>
    <col min="6916" max="6916" width="15.85546875" customWidth="1"/>
    <col min="6917" max="6917" width="15.5703125" customWidth="1"/>
    <col min="6918" max="6918" width="17" customWidth="1"/>
    <col min="6919" max="6919" width="17.85546875" customWidth="1"/>
    <col min="6920" max="6920" width="14.5703125" customWidth="1"/>
    <col min="6921" max="6921" width="15.140625" customWidth="1"/>
    <col min="6922" max="6922" width="17.140625" customWidth="1"/>
    <col min="6923" max="6923" width="15.7109375" customWidth="1"/>
    <col min="6924" max="6924" width="13.5703125" bestFit="1" customWidth="1"/>
    <col min="7169" max="7169" width="8.7109375" customWidth="1"/>
    <col min="7170" max="7170" width="53.42578125" customWidth="1"/>
    <col min="7171" max="7171" width="15.7109375" customWidth="1"/>
    <col min="7172" max="7172" width="15.85546875" customWidth="1"/>
    <col min="7173" max="7173" width="15.5703125" customWidth="1"/>
    <col min="7174" max="7174" width="17" customWidth="1"/>
    <col min="7175" max="7175" width="17.85546875" customWidth="1"/>
    <col min="7176" max="7176" width="14.5703125" customWidth="1"/>
    <col min="7177" max="7177" width="15.140625" customWidth="1"/>
    <col min="7178" max="7178" width="17.140625" customWidth="1"/>
    <col min="7179" max="7179" width="15.7109375" customWidth="1"/>
    <col min="7180" max="7180" width="13.5703125" bestFit="1" customWidth="1"/>
    <col min="7425" max="7425" width="8.7109375" customWidth="1"/>
    <col min="7426" max="7426" width="53.42578125" customWidth="1"/>
    <col min="7427" max="7427" width="15.7109375" customWidth="1"/>
    <col min="7428" max="7428" width="15.85546875" customWidth="1"/>
    <col min="7429" max="7429" width="15.5703125" customWidth="1"/>
    <col min="7430" max="7430" width="17" customWidth="1"/>
    <col min="7431" max="7431" width="17.85546875" customWidth="1"/>
    <col min="7432" max="7432" width="14.5703125" customWidth="1"/>
    <col min="7433" max="7433" width="15.140625" customWidth="1"/>
    <col min="7434" max="7434" width="17.140625" customWidth="1"/>
    <col min="7435" max="7435" width="15.7109375" customWidth="1"/>
    <col min="7436" max="7436" width="13.5703125" bestFit="1" customWidth="1"/>
    <col min="7681" max="7681" width="8.7109375" customWidth="1"/>
    <col min="7682" max="7682" width="53.42578125" customWidth="1"/>
    <col min="7683" max="7683" width="15.7109375" customWidth="1"/>
    <col min="7684" max="7684" width="15.85546875" customWidth="1"/>
    <col min="7685" max="7685" width="15.5703125" customWidth="1"/>
    <col min="7686" max="7686" width="17" customWidth="1"/>
    <col min="7687" max="7687" width="17.85546875" customWidth="1"/>
    <col min="7688" max="7688" width="14.5703125" customWidth="1"/>
    <col min="7689" max="7689" width="15.140625" customWidth="1"/>
    <col min="7690" max="7690" width="17.140625" customWidth="1"/>
    <col min="7691" max="7691" width="15.7109375" customWidth="1"/>
    <col min="7692" max="7692" width="13.5703125" bestFit="1" customWidth="1"/>
    <col min="7937" max="7937" width="8.7109375" customWidth="1"/>
    <col min="7938" max="7938" width="53.42578125" customWidth="1"/>
    <col min="7939" max="7939" width="15.7109375" customWidth="1"/>
    <col min="7940" max="7940" width="15.85546875" customWidth="1"/>
    <col min="7941" max="7941" width="15.5703125" customWidth="1"/>
    <col min="7942" max="7942" width="17" customWidth="1"/>
    <col min="7943" max="7943" width="17.85546875" customWidth="1"/>
    <col min="7944" max="7944" width="14.5703125" customWidth="1"/>
    <col min="7945" max="7945" width="15.140625" customWidth="1"/>
    <col min="7946" max="7946" width="17.140625" customWidth="1"/>
    <col min="7947" max="7947" width="15.7109375" customWidth="1"/>
    <col min="7948" max="7948" width="13.5703125" bestFit="1" customWidth="1"/>
    <col min="8193" max="8193" width="8.7109375" customWidth="1"/>
    <col min="8194" max="8194" width="53.42578125" customWidth="1"/>
    <col min="8195" max="8195" width="15.7109375" customWidth="1"/>
    <col min="8196" max="8196" width="15.85546875" customWidth="1"/>
    <col min="8197" max="8197" width="15.5703125" customWidth="1"/>
    <col min="8198" max="8198" width="17" customWidth="1"/>
    <col min="8199" max="8199" width="17.85546875" customWidth="1"/>
    <col min="8200" max="8200" width="14.5703125" customWidth="1"/>
    <col min="8201" max="8201" width="15.140625" customWidth="1"/>
    <col min="8202" max="8202" width="17.140625" customWidth="1"/>
    <col min="8203" max="8203" width="15.7109375" customWidth="1"/>
    <col min="8204" max="8204" width="13.5703125" bestFit="1" customWidth="1"/>
    <col min="8449" max="8449" width="8.7109375" customWidth="1"/>
    <col min="8450" max="8450" width="53.42578125" customWidth="1"/>
    <col min="8451" max="8451" width="15.7109375" customWidth="1"/>
    <col min="8452" max="8452" width="15.85546875" customWidth="1"/>
    <col min="8453" max="8453" width="15.5703125" customWidth="1"/>
    <col min="8454" max="8454" width="17" customWidth="1"/>
    <col min="8455" max="8455" width="17.85546875" customWidth="1"/>
    <col min="8456" max="8456" width="14.5703125" customWidth="1"/>
    <col min="8457" max="8457" width="15.140625" customWidth="1"/>
    <col min="8458" max="8458" width="17.140625" customWidth="1"/>
    <col min="8459" max="8459" width="15.7109375" customWidth="1"/>
    <col min="8460" max="8460" width="13.5703125" bestFit="1" customWidth="1"/>
    <col min="8705" max="8705" width="8.7109375" customWidth="1"/>
    <col min="8706" max="8706" width="53.42578125" customWidth="1"/>
    <col min="8707" max="8707" width="15.7109375" customWidth="1"/>
    <col min="8708" max="8708" width="15.85546875" customWidth="1"/>
    <col min="8709" max="8709" width="15.5703125" customWidth="1"/>
    <col min="8710" max="8710" width="17" customWidth="1"/>
    <col min="8711" max="8711" width="17.85546875" customWidth="1"/>
    <col min="8712" max="8712" width="14.5703125" customWidth="1"/>
    <col min="8713" max="8713" width="15.140625" customWidth="1"/>
    <col min="8714" max="8714" width="17.140625" customWidth="1"/>
    <col min="8715" max="8715" width="15.7109375" customWidth="1"/>
    <col min="8716" max="8716" width="13.5703125" bestFit="1" customWidth="1"/>
    <col min="8961" max="8961" width="8.7109375" customWidth="1"/>
    <col min="8962" max="8962" width="53.42578125" customWidth="1"/>
    <col min="8963" max="8963" width="15.7109375" customWidth="1"/>
    <col min="8964" max="8964" width="15.85546875" customWidth="1"/>
    <col min="8965" max="8965" width="15.5703125" customWidth="1"/>
    <col min="8966" max="8966" width="17" customWidth="1"/>
    <col min="8967" max="8967" width="17.85546875" customWidth="1"/>
    <col min="8968" max="8968" width="14.5703125" customWidth="1"/>
    <col min="8969" max="8969" width="15.140625" customWidth="1"/>
    <col min="8970" max="8970" width="17.140625" customWidth="1"/>
    <col min="8971" max="8971" width="15.7109375" customWidth="1"/>
    <col min="8972" max="8972" width="13.5703125" bestFit="1" customWidth="1"/>
    <col min="9217" max="9217" width="8.7109375" customWidth="1"/>
    <col min="9218" max="9218" width="53.42578125" customWidth="1"/>
    <col min="9219" max="9219" width="15.7109375" customWidth="1"/>
    <col min="9220" max="9220" width="15.85546875" customWidth="1"/>
    <col min="9221" max="9221" width="15.5703125" customWidth="1"/>
    <col min="9222" max="9222" width="17" customWidth="1"/>
    <col min="9223" max="9223" width="17.85546875" customWidth="1"/>
    <col min="9224" max="9224" width="14.5703125" customWidth="1"/>
    <col min="9225" max="9225" width="15.140625" customWidth="1"/>
    <col min="9226" max="9226" width="17.140625" customWidth="1"/>
    <col min="9227" max="9227" width="15.7109375" customWidth="1"/>
    <col min="9228" max="9228" width="13.5703125" bestFit="1" customWidth="1"/>
    <col min="9473" max="9473" width="8.7109375" customWidth="1"/>
    <col min="9474" max="9474" width="53.42578125" customWidth="1"/>
    <col min="9475" max="9475" width="15.7109375" customWidth="1"/>
    <col min="9476" max="9476" width="15.85546875" customWidth="1"/>
    <col min="9477" max="9477" width="15.5703125" customWidth="1"/>
    <col min="9478" max="9478" width="17" customWidth="1"/>
    <col min="9479" max="9479" width="17.85546875" customWidth="1"/>
    <col min="9480" max="9480" width="14.5703125" customWidth="1"/>
    <col min="9481" max="9481" width="15.140625" customWidth="1"/>
    <col min="9482" max="9482" width="17.140625" customWidth="1"/>
    <col min="9483" max="9483" width="15.7109375" customWidth="1"/>
    <col min="9484" max="9484" width="13.5703125" bestFit="1" customWidth="1"/>
    <col min="9729" max="9729" width="8.7109375" customWidth="1"/>
    <col min="9730" max="9730" width="53.42578125" customWidth="1"/>
    <col min="9731" max="9731" width="15.7109375" customWidth="1"/>
    <col min="9732" max="9732" width="15.85546875" customWidth="1"/>
    <col min="9733" max="9733" width="15.5703125" customWidth="1"/>
    <col min="9734" max="9734" width="17" customWidth="1"/>
    <col min="9735" max="9735" width="17.85546875" customWidth="1"/>
    <col min="9736" max="9736" width="14.5703125" customWidth="1"/>
    <col min="9737" max="9737" width="15.140625" customWidth="1"/>
    <col min="9738" max="9738" width="17.140625" customWidth="1"/>
    <col min="9739" max="9739" width="15.7109375" customWidth="1"/>
    <col min="9740" max="9740" width="13.5703125" bestFit="1" customWidth="1"/>
    <col min="9985" max="9985" width="8.7109375" customWidth="1"/>
    <col min="9986" max="9986" width="53.42578125" customWidth="1"/>
    <col min="9987" max="9987" width="15.7109375" customWidth="1"/>
    <col min="9988" max="9988" width="15.85546875" customWidth="1"/>
    <col min="9989" max="9989" width="15.5703125" customWidth="1"/>
    <col min="9990" max="9990" width="17" customWidth="1"/>
    <col min="9991" max="9991" width="17.85546875" customWidth="1"/>
    <col min="9992" max="9992" width="14.5703125" customWidth="1"/>
    <col min="9993" max="9993" width="15.140625" customWidth="1"/>
    <col min="9994" max="9994" width="17.140625" customWidth="1"/>
    <col min="9995" max="9995" width="15.7109375" customWidth="1"/>
    <col min="9996" max="9996" width="13.5703125" bestFit="1" customWidth="1"/>
    <col min="10241" max="10241" width="8.7109375" customWidth="1"/>
    <col min="10242" max="10242" width="53.42578125" customWidth="1"/>
    <col min="10243" max="10243" width="15.7109375" customWidth="1"/>
    <col min="10244" max="10244" width="15.85546875" customWidth="1"/>
    <col min="10245" max="10245" width="15.5703125" customWidth="1"/>
    <col min="10246" max="10246" width="17" customWidth="1"/>
    <col min="10247" max="10247" width="17.85546875" customWidth="1"/>
    <col min="10248" max="10248" width="14.5703125" customWidth="1"/>
    <col min="10249" max="10249" width="15.140625" customWidth="1"/>
    <col min="10250" max="10250" width="17.140625" customWidth="1"/>
    <col min="10251" max="10251" width="15.7109375" customWidth="1"/>
    <col min="10252" max="10252" width="13.5703125" bestFit="1" customWidth="1"/>
    <col min="10497" max="10497" width="8.7109375" customWidth="1"/>
    <col min="10498" max="10498" width="53.42578125" customWidth="1"/>
    <col min="10499" max="10499" width="15.7109375" customWidth="1"/>
    <col min="10500" max="10500" width="15.85546875" customWidth="1"/>
    <col min="10501" max="10501" width="15.5703125" customWidth="1"/>
    <col min="10502" max="10502" width="17" customWidth="1"/>
    <col min="10503" max="10503" width="17.85546875" customWidth="1"/>
    <col min="10504" max="10504" width="14.5703125" customWidth="1"/>
    <col min="10505" max="10505" width="15.140625" customWidth="1"/>
    <col min="10506" max="10506" width="17.140625" customWidth="1"/>
    <col min="10507" max="10507" width="15.7109375" customWidth="1"/>
    <col min="10508" max="10508" width="13.5703125" bestFit="1" customWidth="1"/>
    <col min="10753" max="10753" width="8.7109375" customWidth="1"/>
    <col min="10754" max="10754" width="53.42578125" customWidth="1"/>
    <col min="10755" max="10755" width="15.7109375" customWidth="1"/>
    <col min="10756" max="10756" width="15.85546875" customWidth="1"/>
    <col min="10757" max="10757" width="15.5703125" customWidth="1"/>
    <col min="10758" max="10758" width="17" customWidth="1"/>
    <col min="10759" max="10759" width="17.85546875" customWidth="1"/>
    <col min="10760" max="10760" width="14.5703125" customWidth="1"/>
    <col min="10761" max="10761" width="15.140625" customWidth="1"/>
    <col min="10762" max="10762" width="17.140625" customWidth="1"/>
    <col min="10763" max="10763" width="15.7109375" customWidth="1"/>
    <col min="10764" max="10764" width="13.5703125" bestFit="1" customWidth="1"/>
    <col min="11009" max="11009" width="8.7109375" customWidth="1"/>
    <col min="11010" max="11010" width="53.42578125" customWidth="1"/>
    <col min="11011" max="11011" width="15.7109375" customWidth="1"/>
    <col min="11012" max="11012" width="15.85546875" customWidth="1"/>
    <col min="11013" max="11013" width="15.5703125" customWidth="1"/>
    <col min="11014" max="11014" width="17" customWidth="1"/>
    <col min="11015" max="11015" width="17.85546875" customWidth="1"/>
    <col min="11016" max="11016" width="14.5703125" customWidth="1"/>
    <col min="11017" max="11017" width="15.140625" customWidth="1"/>
    <col min="11018" max="11018" width="17.140625" customWidth="1"/>
    <col min="11019" max="11019" width="15.7109375" customWidth="1"/>
    <col min="11020" max="11020" width="13.5703125" bestFit="1" customWidth="1"/>
    <col min="11265" max="11265" width="8.7109375" customWidth="1"/>
    <col min="11266" max="11266" width="53.42578125" customWidth="1"/>
    <col min="11267" max="11267" width="15.7109375" customWidth="1"/>
    <col min="11268" max="11268" width="15.85546875" customWidth="1"/>
    <col min="11269" max="11269" width="15.5703125" customWidth="1"/>
    <col min="11270" max="11270" width="17" customWidth="1"/>
    <col min="11271" max="11271" width="17.85546875" customWidth="1"/>
    <col min="11272" max="11272" width="14.5703125" customWidth="1"/>
    <col min="11273" max="11273" width="15.140625" customWidth="1"/>
    <col min="11274" max="11274" width="17.140625" customWidth="1"/>
    <col min="11275" max="11275" width="15.7109375" customWidth="1"/>
    <col min="11276" max="11276" width="13.5703125" bestFit="1" customWidth="1"/>
    <col min="11521" max="11521" width="8.7109375" customWidth="1"/>
    <col min="11522" max="11522" width="53.42578125" customWidth="1"/>
    <col min="11523" max="11523" width="15.7109375" customWidth="1"/>
    <col min="11524" max="11524" width="15.85546875" customWidth="1"/>
    <col min="11525" max="11525" width="15.5703125" customWidth="1"/>
    <col min="11526" max="11526" width="17" customWidth="1"/>
    <col min="11527" max="11527" width="17.85546875" customWidth="1"/>
    <col min="11528" max="11528" width="14.5703125" customWidth="1"/>
    <col min="11529" max="11529" width="15.140625" customWidth="1"/>
    <col min="11530" max="11530" width="17.140625" customWidth="1"/>
    <col min="11531" max="11531" width="15.7109375" customWidth="1"/>
    <col min="11532" max="11532" width="13.5703125" bestFit="1" customWidth="1"/>
    <col min="11777" max="11777" width="8.7109375" customWidth="1"/>
    <col min="11778" max="11778" width="53.42578125" customWidth="1"/>
    <col min="11779" max="11779" width="15.7109375" customWidth="1"/>
    <col min="11780" max="11780" width="15.85546875" customWidth="1"/>
    <col min="11781" max="11781" width="15.5703125" customWidth="1"/>
    <col min="11782" max="11782" width="17" customWidth="1"/>
    <col min="11783" max="11783" width="17.85546875" customWidth="1"/>
    <col min="11784" max="11784" width="14.5703125" customWidth="1"/>
    <col min="11785" max="11785" width="15.140625" customWidth="1"/>
    <col min="11786" max="11786" width="17.140625" customWidth="1"/>
    <col min="11787" max="11787" width="15.7109375" customWidth="1"/>
    <col min="11788" max="11788" width="13.5703125" bestFit="1" customWidth="1"/>
    <col min="12033" max="12033" width="8.7109375" customWidth="1"/>
    <col min="12034" max="12034" width="53.42578125" customWidth="1"/>
    <col min="12035" max="12035" width="15.7109375" customWidth="1"/>
    <col min="12036" max="12036" width="15.85546875" customWidth="1"/>
    <col min="12037" max="12037" width="15.5703125" customWidth="1"/>
    <col min="12038" max="12038" width="17" customWidth="1"/>
    <col min="12039" max="12039" width="17.85546875" customWidth="1"/>
    <col min="12040" max="12040" width="14.5703125" customWidth="1"/>
    <col min="12041" max="12041" width="15.140625" customWidth="1"/>
    <col min="12042" max="12042" width="17.140625" customWidth="1"/>
    <col min="12043" max="12043" width="15.7109375" customWidth="1"/>
    <col min="12044" max="12044" width="13.5703125" bestFit="1" customWidth="1"/>
    <col min="12289" max="12289" width="8.7109375" customWidth="1"/>
    <col min="12290" max="12290" width="53.42578125" customWidth="1"/>
    <col min="12291" max="12291" width="15.7109375" customWidth="1"/>
    <col min="12292" max="12292" width="15.85546875" customWidth="1"/>
    <col min="12293" max="12293" width="15.5703125" customWidth="1"/>
    <col min="12294" max="12294" width="17" customWidth="1"/>
    <col min="12295" max="12295" width="17.85546875" customWidth="1"/>
    <col min="12296" max="12296" width="14.5703125" customWidth="1"/>
    <col min="12297" max="12297" width="15.140625" customWidth="1"/>
    <col min="12298" max="12298" width="17.140625" customWidth="1"/>
    <col min="12299" max="12299" width="15.7109375" customWidth="1"/>
    <col min="12300" max="12300" width="13.5703125" bestFit="1" customWidth="1"/>
    <col min="12545" max="12545" width="8.7109375" customWidth="1"/>
    <col min="12546" max="12546" width="53.42578125" customWidth="1"/>
    <col min="12547" max="12547" width="15.7109375" customWidth="1"/>
    <col min="12548" max="12548" width="15.85546875" customWidth="1"/>
    <col min="12549" max="12549" width="15.5703125" customWidth="1"/>
    <col min="12550" max="12550" width="17" customWidth="1"/>
    <col min="12551" max="12551" width="17.85546875" customWidth="1"/>
    <col min="12552" max="12552" width="14.5703125" customWidth="1"/>
    <col min="12553" max="12553" width="15.140625" customWidth="1"/>
    <col min="12554" max="12554" width="17.140625" customWidth="1"/>
    <col min="12555" max="12555" width="15.7109375" customWidth="1"/>
    <col min="12556" max="12556" width="13.5703125" bestFit="1" customWidth="1"/>
    <col min="12801" max="12801" width="8.7109375" customWidth="1"/>
    <col min="12802" max="12802" width="53.42578125" customWidth="1"/>
    <col min="12803" max="12803" width="15.7109375" customWidth="1"/>
    <col min="12804" max="12804" width="15.85546875" customWidth="1"/>
    <col min="12805" max="12805" width="15.5703125" customWidth="1"/>
    <col min="12806" max="12806" width="17" customWidth="1"/>
    <col min="12807" max="12807" width="17.85546875" customWidth="1"/>
    <col min="12808" max="12808" width="14.5703125" customWidth="1"/>
    <col min="12809" max="12809" width="15.140625" customWidth="1"/>
    <col min="12810" max="12810" width="17.140625" customWidth="1"/>
    <col min="12811" max="12811" width="15.7109375" customWidth="1"/>
    <col min="12812" max="12812" width="13.5703125" bestFit="1" customWidth="1"/>
    <col min="13057" max="13057" width="8.7109375" customWidth="1"/>
    <col min="13058" max="13058" width="53.42578125" customWidth="1"/>
    <col min="13059" max="13059" width="15.7109375" customWidth="1"/>
    <col min="13060" max="13060" width="15.85546875" customWidth="1"/>
    <col min="13061" max="13061" width="15.5703125" customWidth="1"/>
    <col min="13062" max="13062" width="17" customWidth="1"/>
    <col min="13063" max="13063" width="17.85546875" customWidth="1"/>
    <col min="13064" max="13064" width="14.5703125" customWidth="1"/>
    <col min="13065" max="13065" width="15.140625" customWidth="1"/>
    <col min="13066" max="13066" width="17.140625" customWidth="1"/>
    <col min="13067" max="13067" width="15.7109375" customWidth="1"/>
    <col min="13068" max="13068" width="13.5703125" bestFit="1" customWidth="1"/>
    <col min="13313" max="13313" width="8.7109375" customWidth="1"/>
    <col min="13314" max="13314" width="53.42578125" customWidth="1"/>
    <col min="13315" max="13315" width="15.7109375" customWidth="1"/>
    <col min="13316" max="13316" width="15.85546875" customWidth="1"/>
    <col min="13317" max="13317" width="15.5703125" customWidth="1"/>
    <col min="13318" max="13318" width="17" customWidth="1"/>
    <col min="13319" max="13319" width="17.85546875" customWidth="1"/>
    <col min="13320" max="13320" width="14.5703125" customWidth="1"/>
    <col min="13321" max="13321" width="15.140625" customWidth="1"/>
    <col min="13322" max="13322" width="17.140625" customWidth="1"/>
    <col min="13323" max="13323" width="15.7109375" customWidth="1"/>
    <col min="13324" max="13324" width="13.5703125" bestFit="1" customWidth="1"/>
    <col min="13569" max="13569" width="8.7109375" customWidth="1"/>
    <col min="13570" max="13570" width="53.42578125" customWidth="1"/>
    <col min="13571" max="13571" width="15.7109375" customWidth="1"/>
    <col min="13572" max="13572" width="15.85546875" customWidth="1"/>
    <col min="13573" max="13573" width="15.5703125" customWidth="1"/>
    <col min="13574" max="13574" width="17" customWidth="1"/>
    <col min="13575" max="13575" width="17.85546875" customWidth="1"/>
    <col min="13576" max="13576" width="14.5703125" customWidth="1"/>
    <col min="13577" max="13577" width="15.140625" customWidth="1"/>
    <col min="13578" max="13578" width="17.140625" customWidth="1"/>
    <col min="13579" max="13579" width="15.7109375" customWidth="1"/>
    <col min="13580" max="13580" width="13.5703125" bestFit="1" customWidth="1"/>
    <col min="13825" max="13825" width="8.7109375" customWidth="1"/>
    <col min="13826" max="13826" width="53.42578125" customWidth="1"/>
    <col min="13827" max="13827" width="15.7109375" customWidth="1"/>
    <col min="13828" max="13828" width="15.85546875" customWidth="1"/>
    <col min="13829" max="13829" width="15.5703125" customWidth="1"/>
    <col min="13830" max="13830" width="17" customWidth="1"/>
    <col min="13831" max="13831" width="17.85546875" customWidth="1"/>
    <col min="13832" max="13832" width="14.5703125" customWidth="1"/>
    <col min="13833" max="13833" width="15.140625" customWidth="1"/>
    <col min="13834" max="13834" width="17.140625" customWidth="1"/>
    <col min="13835" max="13835" width="15.7109375" customWidth="1"/>
    <col min="13836" max="13836" width="13.5703125" bestFit="1" customWidth="1"/>
    <col min="14081" max="14081" width="8.7109375" customWidth="1"/>
    <col min="14082" max="14082" width="53.42578125" customWidth="1"/>
    <col min="14083" max="14083" width="15.7109375" customWidth="1"/>
    <col min="14084" max="14084" width="15.85546875" customWidth="1"/>
    <col min="14085" max="14085" width="15.5703125" customWidth="1"/>
    <col min="14086" max="14086" width="17" customWidth="1"/>
    <col min="14087" max="14087" width="17.85546875" customWidth="1"/>
    <col min="14088" max="14088" width="14.5703125" customWidth="1"/>
    <col min="14089" max="14089" width="15.140625" customWidth="1"/>
    <col min="14090" max="14090" width="17.140625" customWidth="1"/>
    <col min="14091" max="14091" width="15.7109375" customWidth="1"/>
    <col min="14092" max="14092" width="13.5703125" bestFit="1" customWidth="1"/>
    <col min="14337" max="14337" width="8.7109375" customWidth="1"/>
    <col min="14338" max="14338" width="53.42578125" customWidth="1"/>
    <col min="14339" max="14339" width="15.7109375" customWidth="1"/>
    <col min="14340" max="14340" width="15.85546875" customWidth="1"/>
    <col min="14341" max="14341" width="15.5703125" customWidth="1"/>
    <col min="14342" max="14342" width="17" customWidth="1"/>
    <col min="14343" max="14343" width="17.85546875" customWidth="1"/>
    <col min="14344" max="14344" width="14.5703125" customWidth="1"/>
    <col min="14345" max="14345" width="15.140625" customWidth="1"/>
    <col min="14346" max="14346" width="17.140625" customWidth="1"/>
    <col min="14347" max="14347" width="15.7109375" customWidth="1"/>
    <col min="14348" max="14348" width="13.5703125" bestFit="1" customWidth="1"/>
    <col min="14593" max="14593" width="8.7109375" customWidth="1"/>
    <col min="14594" max="14594" width="53.42578125" customWidth="1"/>
    <col min="14595" max="14595" width="15.7109375" customWidth="1"/>
    <col min="14596" max="14596" width="15.85546875" customWidth="1"/>
    <col min="14597" max="14597" width="15.5703125" customWidth="1"/>
    <col min="14598" max="14598" width="17" customWidth="1"/>
    <col min="14599" max="14599" width="17.85546875" customWidth="1"/>
    <col min="14600" max="14600" width="14.5703125" customWidth="1"/>
    <col min="14601" max="14601" width="15.140625" customWidth="1"/>
    <col min="14602" max="14602" width="17.140625" customWidth="1"/>
    <col min="14603" max="14603" width="15.7109375" customWidth="1"/>
    <col min="14604" max="14604" width="13.5703125" bestFit="1" customWidth="1"/>
    <col min="14849" max="14849" width="8.7109375" customWidth="1"/>
    <col min="14850" max="14850" width="53.42578125" customWidth="1"/>
    <col min="14851" max="14851" width="15.7109375" customWidth="1"/>
    <col min="14852" max="14852" width="15.85546875" customWidth="1"/>
    <col min="14853" max="14853" width="15.5703125" customWidth="1"/>
    <col min="14854" max="14854" width="17" customWidth="1"/>
    <col min="14855" max="14855" width="17.85546875" customWidth="1"/>
    <col min="14856" max="14856" width="14.5703125" customWidth="1"/>
    <col min="14857" max="14857" width="15.140625" customWidth="1"/>
    <col min="14858" max="14858" width="17.140625" customWidth="1"/>
    <col min="14859" max="14859" width="15.7109375" customWidth="1"/>
    <col min="14860" max="14860" width="13.5703125" bestFit="1" customWidth="1"/>
    <col min="15105" max="15105" width="8.7109375" customWidth="1"/>
    <col min="15106" max="15106" width="53.42578125" customWidth="1"/>
    <col min="15107" max="15107" width="15.7109375" customWidth="1"/>
    <col min="15108" max="15108" width="15.85546875" customWidth="1"/>
    <col min="15109" max="15109" width="15.5703125" customWidth="1"/>
    <col min="15110" max="15110" width="17" customWidth="1"/>
    <col min="15111" max="15111" width="17.85546875" customWidth="1"/>
    <col min="15112" max="15112" width="14.5703125" customWidth="1"/>
    <col min="15113" max="15113" width="15.140625" customWidth="1"/>
    <col min="15114" max="15114" width="17.140625" customWidth="1"/>
    <col min="15115" max="15115" width="15.7109375" customWidth="1"/>
    <col min="15116" max="15116" width="13.5703125" bestFit="1" customWidth="1"/>
    <col min="15361" max="15361" width="8.7109375" customWidth="1"/>
    <col min="15362" max="15362" width="53.42578125" customWidth="1"/>
    <col min="15363" max="15363" width="15.7109375" customWidth="1"/>
    <col min="15364" max="15364" width="15.85546875" customWidth="1"/>
    <col min="15365" max="15365" width="15.5703125" customWidth="1"/>
    <col min="15366" max="15366" width="17" customWidth="1"/>
    <col min="15367" max="15367" width="17.85546875" customWidth="1"/>
    <col min="15368" max="15368" width="14.5703125" customWidth="1"/>
    <col min="15369" max="15369" width="15.140625" customWidth="1"/>
    <col min="15370" max="15370" width="17.140625" customWidth="1"/>
    <col min="15371" max="15371" width="15.7109375" customWidth="1"/>
    <col min="15372" max="15372" width="13.5703125" bestFit="1" customWidth="1"/>
    <col min="15617" max="15617" width="8.7109375" customWidth="1"/>
    <col min="15618" max="15618" width="53.42578125" customWidth="1"/>
    <col min="15619" max="15619" width="15.7109375" customWidth="1"/>
    <col min="15620" max="15620" width="15.85546875" customWidth="1"/>
    <col min="15621" max="15621" width="15.5703125" customWidth="1"/>
    <col min="15622" max="15622" width="17" customWidth="1"/>
    <col min="15623" max="15623" width="17.85546875" customWidth="1"/>
    <col min="15624" max="15624" width="14.5703125" customWidth="1"/>
    <col min="15625" max="15625" width="15.140625" customWidth="1"/>
    <col min="15626" max="15626" width="17.140625" customWidth="1"/>
    <col min="15627" max="15627" width="15.7109375" customWidth="1"/>
    <col min="15628" max="15628" width="13.5703125" bestFit="1" customWidth="1"/>
    <col min="15873" max="15873" width="8.7109375" customWidth="1"/>
    <col min="15874" max="15874" width="53.42578125" customWidth="1"/>
    <col min="15875" max="15875" width="15.7109375" customWidth="1"/>
    <col min="15876" max="15876" width="15.85546875" customWidth="1"/>
    <col min="15877" max="15877" width="15.5703125" customWidth="1"/>
    <col min="15878" max="15878" width="17" customWidth="1"/>
    <col min="15879" max="15879" width="17.85546875" customWidth="1"/>
    <col min="15880" max="15880" width="14.5703125" customWidth="1"/>
    <col min="15881" max="15881" width="15.140625" customWidth="1"/>
    <col min="15882" max="15882" width="17.140625" customWidth="1"/>
    <col min="15883" max="15883" width="15.7109375" customWidth="1"/>
    <col min="15884" max="15884" width="13.5703125" bestFit="1" customWidth="1"/>
    <col min="16129" max="16129" width="8.7109375" customWidth="1"/>
    <col min="16130" max="16130" width="53.42578125" customWidth="1"/>
    <col min="16131" max="16131" width="15.7109375" customWidth="1"/>
    <col min="16132" max="16132" width="15.85546875" customWidth="1"/>
    <col min="16133" max="16133" width="15.5703125" customWidth="1"/>
    <col min="16134" max="16134" width="17" customWidth="1"/>
    <col min="16135" max="16135" width="17.85546875" customWidth="1"/>
    <col min="16136" max="16136" width="14.5703125" customWidth="1"/>
    <col min="16137" max="16137" width="15.140625" customWidth="1"/>
    <col min="16138" max="16138" width="17.140625" customWidth="1"/>
    <col min="16139" max="16139" width="15.7109375" customWidth="1"/>
    <col min="16140" max="16140" width="13.5703125" bestFit="1" customWidth="1"/>
  </cols>
  <sheetData>
    <row r="1" spans="1:11" ht="15.75" x14ac:dyDescent="0.25">
      <c r="F1" s="169"/>
      <c r="G1" s="169"/>
      <c r="H1" s="169"/>
      <c r="I1" s="518" t="s">
        <v>768</v>
      </c>
      <c r="J1" s="518"/>
      <c r="K1" s="518"/>
    </row>
    <row r="2" spans="1:11" ht="15.75" x14ac:dyDescent="0.25">
      <c r="F2" s="169"/>
      <c r="G2" s="169"/>
      <c r="H2" s="169"/>
      <c r="I2" s="518" t="s">
        <v>1409</v>
      </c>
      <c r="J2" s="518"/>
      <c r="K2" s="518"/>
    </row>
    <row r="3" spans="1:11" ht="15.75" x14ac:dyDescent="0.25">
      <c r="I3" s="518" t="s">
        <v>1404</v>
      </c>
      <c r="J3" s="518"/>
      <c r="K3" s="518"/>
    </row>
    <row r="4" spans="1:11" ht="15.75" x14ac:dyDescent="0.25">
      <c r="I4" s="518" t="s">
        <v>1410</v>
      </c>
      <c r="J4" s="518"/>
      <c r="K4" s="518"/>
    </row>
    <row r="5" spans="1:11" ht="15.75" x14ac:dyDescent="0.25">
      <c r="I5" s="518" t="s">
        <v>1406</v>
      </c>
      <c r="J5" s="518"/>
      <c r="K5" s="518"/>
    </row>
    <row r="7" spans="1:11" ht="16.5" x14ac:dyDescent="0.25">
      <c r="A7" s="481" t="s">
        <v>1377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</row>
    <row r="8" spans="1:11" ht="16.899999999999999" x14ac:dyDescent="0.3">
      <c r="A8" s="176"/>
      <c r="B8" s="176"/>
      <c r="C8" s="177"/>
      <c r="D8" s="177"/>
      <c r="E8" s="177"/>
      <c r="F8" s="177"/>
      <c r="G8" s="177"/>
      <c r="H8" s="177"/>
    </row>
    <row r="9" spans="1:11" x14ac:dyDescent="0.25">
      <c r="A9" s="474" t="s">
        <v>770</v>
      </c>
      <c r="B9" s="474" t="s">
        <v>779</v>
      </c>
      <c r="C9" s="474" t="s">
        <v>772</v>
      </c>
      <c r="D9" s="474"/>
      <c r="E9" s="474"/>
      <c r="F9" s="474"/>
      <c r="G9" s="474"/>
      <c r="H9" s="474"/>
      <c r="I9" s="474"/>
      <c r="J9" s="474"/>
      <c r="K9" s="474"/>
    </row>
    <row r="10" spans="1:11" x14ac:dyDescent="0.25">
      <c r="A10" s="474"/>
      <c r="B10" s="474"/>
      <c r="C10" s="474"/>
      <c r="D10" s="474"/>
      <c r="E10" s="474"/>
      <c r="F10" s="474"/>
      <c r="G10" s="474"/>
      <c r="H10" s="474"/>
      <c r="I10" s="474"/>
      <c r="J10" s="474"/>
      <c r="K10" s="474"/>
    </row>
    <row r="11" spans="1:11" ht="15.75" x14ac:dyDescent="0.25">
      <c r="A11" s="474"/>
      <c r="B11" s="474"/>
      <c r="C11" s="479" t="s">
        <v>3</v>
      </c>
      <c r="D11" s="477" t="s">
        <v>291</v>
      </c>
      <c r="E11" s="478"/>
      <c r="F11" s="479" t="s">
        <v>4</v>
      </c>
      <c r="G11" s="477" t="s">
        <v>291</v>
      </c>
      <c r="H11" s="478"/>
      <c r="I11" s="479" t="s">
        <v>5</v>
      </c>
      <c r="J11" s="477" t="s">
        <v>291</v>
      </c>
      <c r="K11" s="478"/>
    </row>
    <row r="12" spans="1:11" ht="47.25" x14ac:dyDescent="0.25">
      <c r="A12" s="474"/>
      <c r="B12" s="474"/>
      <c r="C12" s="480"/>
      <c r="D12" s="178" t="s">
        <v>773</v>
      </c>
      <c r="E12" s="178" t="s">
        <v>774</v>
      </c>
      <c r="F12" s="480"/>
      <c r="G12" s="178" t="s">
        <v>773</v>
      </c>
      <c r="H12" s="178" t="s">
        <v>774</v>
      </c>
      <c r="I12" s="480"/>
      <c r="J12" s="178" t="s">
        <v>773</v>
      </c>
      <c r="K12" s="178" t="s">
        <v>774</v>
      </c>
    </row>
    <row r="13" spans="1:11" ht="63" x14ac:dyDescent="0.25">
      <c r="A13" s="179" t="s">
        <v>780</v>
      </c>
      <c r="B13" s="180" t="s">
        <v>781</v>
      </c>
      <c r="C13" s="181">
        <f t="shared" ref="C13:K13" si="0">C14+C38</f>
        <v>59296.5</v>
      </c>
      <c r="D13" s="181">
        <f t="shared" si="0"/>
        <v>18075.5</v>
      </c>
      <c r="E13" s="181">
        <f t="shared" si="0"/>
        <v>41221</v>
      </c>
      <c r="F13" s="181">
        <f t="shared" si="0"/>
        <v>61874.1</v>
      </c>
      <c r="G13" s="181">
        <f t="shared" si="0"/>
        <v>26107.599999999999</v>
      </c>
      <c r="H13" s="181">
        <f t="shared" si="0"/>
        <v>35766.500000000007</v>
      </c>
      <c r="I13" s="181">
        <f t="shared" si="0"/>
        <v>60409.799999999996</v>
      </c>
      <c r="J13" s="181">
        <f t="shared" si="0"/>
        <v>25961.7</v>
      </c>
      <c r="K13" s="181">
        <f t="shared" si="0"/>
        <v>34448.1</v>
      </c>
    </row>
    <row r="14" spans="1:11" s="185" customFormat="1" ht="47.25" x14ac:dyDescent="0.25">
      <c r="A14" s="182" t="s">
        <v>782</v>
      </c>
      <c r="B14" s="183" t="s">
        <v>783</v>
      </c>
      <c r="C14" s="184">
        <f>C15+C19+C36+C17</f>
        <v>58746.2</v>
      </c>
      <c r="D14" s="184">
        <f>D15+D19+D28+D36+D17</f>
        <v>18075.5</v>
      </c>
      <c r="E14" s="184">
        <f>E15+E19+E36+E17</f>
        <v>40670.699999999997</v>
      </c>
      <c r="F14" s="184">
        <f>F15+F19+F36+F17</f>
        <v>61301.799999999996</v>
      </c>
      <c r="G14" s="184">
        <f>G15+G19+G28+G36+G17</f>
        <v>26107.599999999999</v>
      </c>
      <c r="H14" s="184">
        <f>H15+H19+H36+H17</f>
        <v>35194.200000000004</v>
      </c>
      <c r="I14" s="184">
        <f>I15+I19+I36+I17</f>
        <v>59814.6</v>
      </c>
      <c r="J14" s="184">
        <f>J15+J19+J28+J36+J17</f>
        <v>25961.7</v>
      </c>
      <c r="K14" s="184">
        <f>K15+K19+K36+K17</f>
        <v>33852.9</v>
      </c>
    </row>
    <row r="15" spans="1:11" s="189" customFormat="1" ht="31.5" x14ac:dyDescent="0.25">
      <c r="A15" s="186" t="s">
        <v>784</v>
      </c>
      <c r="B15" s="187" t="s">
        <v>785</v>
      </c>
      <c r="C15" s="188">
        <v>500</v>
      </c>
      <c r="D15" s="188">
        <v>0</v>
      </c>
      <c r="E15" s="188">
        <v>500</v>
      </c>
      <c r="F15" s="188">
        <v>520</v>
      </c>
      <c r="G15" s="188">
        <v>0</v>
      </c>
      <c r="H15" s="188">
        <v>520</v>
      </c>
      <c r="I15" s="188">
        <f>K15</f>
        <v>540.79999999999995</v>
      </c>
      <c r="J15" s="188">
        <v>0</v>
      </c>
      <c r="K15" s="188">
        <v>540.79999999999995</v>
      </c>
    </row>
    <row r="16" spans="1:11" s="193" customFormat="1" ht="31.5" x14ac:dyDescent="0.25">
      <c r="A16" s="190"/>
      <c r="B16" s="191" t="s">
        <v>786</v>
      </c>
      <c r="C16" s="192">
        <v>500</v>
      </c>
      <c r="D16" s="192">
        <v>0</v>
      </c>
      <c r="E16" s="192">
        <v>500</v>
      </c>
      <c r="F16" s="192">
        <v>520</v>
      </c>
      <c r="G16" s="192">
        <v>0</v>
      </c>
      <c r="H16" s="192">
        <v>520</v>
      </c>
      <c r="I16" s="192">
        <f>K16</f>
        <v>540.79999999999995</v>
      </c>
      <c r="J16" s="192">
        <v>0</v>
      </c>
      <c r="K16" s="192">
        <v>540.79999999999995</v>
      </c>
    </row>
    <row r="17" spans="1:12" s="189" customFormat="1" ht="31.5" x14ac:dyDescent="0.25">
      <c r="A17" s="186" t="s">
        <v>787</v>
      </c>
      <c r="B17" s="194" t="s">
        <v>788</v>
      </c>
      <c r="C17" s="188">
        <f>C18</f>
        <v>3833.3</v>
      </c>
      <c r="D17" s="188">
        <f t="shared" ref="D17:K17" si="1">D18</f>
        <v>0</v>
      </c>
      <c r="E17" s="188">
        <f t="shared" si="1"/>
        <v>3833.3</v>
      </c>
      <c r="F17" s="188">
        <f t="shared" si="1"/>
        <v>0</v>
      </c>
      <c r="G17" s="188">
        <f t="shared" si="1"/>
        <v>0</v>
      </c>
      <c r="H17" s="188">
        <f t="shared" si="1"/>
        <v>0</v>
      </c>
      <c r="I17" s="188">
        <f t="shared" si="1"/>
        <v>0</v>
      </c>
      <c r="J17" s="188">
        <f t="shared" si="1"/>
        <v>0</v>
      </c>
      <c r="K17" s="188">
        <f t="shared" si="1"/>
        <v>0</v>
      </c>
    </row>
    <row r="18" spans="1:12" s="189" customFormat="1" ht="63" x14ac:dyDescent="0.25">
      <c r="A18" s="190"/>
      <c r="B18" s="195" t="s">
        <v>789</v>
      </c>
      <c r="C18" s="192">
        <f t="shared" ref="C18" si="2">D18+E18</f>
        <v>3833.3</v>
      </c>
      <c r="D18" s="196">
        <v>0</v>
      </c>
      <c r="E18" s="196">
        <v>3833.3</v>
      </c>
      <c r="F18" s="196">
        <v>0</v>
      </c>
      <c r="G18" s="196">
        <v>0</v>
      </c>
      <c r="H18" s="196">
        <v>0</v>
      </c>
      <c r="I18" s="196">
        <v>0</v>
      </c>
      <c r="J18" s="196">
        <v>0</v>
      </c>
      <c r="K18" s="196">
        <v>0</v>
      </c>
    </row>
    <row r="19" spans="1:12" s="189" customFormat="1" ht="31.5" x14ac:dyDescent="0.25">
      <c r="A19" s="186" t="s">
        <v>790</v>
      </c>
      <c r="B19" s="194" t="s">
        <v>791</v>
      </c>
      <c r="C19" s="188">
        <f>C20+C28</f>
        <v>27098.6</v>
      </c>
      <c r="D19" s="188">
        <f t="shared" ref="D19:K19" si="3">D20+D28</f>
        <v>18075.5</v>
      </c>
      <c r="E19" s="188">
        <f>E20+E28</f>
        <v>9023.0999999999985</v>
      </c>
      <c r="F19" s="188">
        <f t="shared" si="3"/>
        <v>32374.899999999998</v>
      </c>
      <c r="G19" s="188">
        <f t="shared" si="3"/>
        <v>26107.599999999999</v>
      </c>
      <c r="H19" s="188">
        <f t="shared" si="3"/>
        <v>6267.3</v>
      </c>
      <c r="I19" s="188">
        <f t="shared" si="3"/>
        <v>29730.7</v>
      </c>
      <c r="J19" s="188">
        <f t="shared" si="3"/>
        <v>25961.7</v>
      </c>
      <c r="K19" s="188">
        <f t="shared" si="3"/>
        <v>3769</v>
      </c>
    </row>
    <row r="20" spans="1:12" s="193" customFormat="1" ht="15.75" x14ac:dyDescent="0.25">
      <c r="A20" s="190"/>
      <c r="B20" s="197" t="s">
        <v>792</v>
      </c>
      <c r="C20" s="192">
        <f>D20+E20</f>
        <v>22997.200000000001</v>
      </c>
      <c r="D20" s="192">
        <v>18075.5</v>
      </c>
      <c r="E20" s="192">
        <f>SUM(E23:E27)</f>
        <v>4921.7</v>
      </c>
      <c r="F20" s="192">
        <f>SUM(G20+H20)</f>
        <v>29008.6</v>
      </c>
      <c r="G20" s="192">
        <v>26107.599999999999</v>
      </c>
      <c r="H20" s="192">
        <v>2901</v>
      </c>
      <c r="I20" s="192">
        <f>SUM(J20+K20)</f>
        <v>28846.3</v>
      </c>
      <c r="J20" s="192">
        <v>25961.7</v>
      </c>
      <c r="K20" s="192">
        <v>2884.6</v>
      </c>
    </row>
    <row r="21" spans="1:12" s="201" customFormat="1" ht="15.75" x14ac:dyDescent="0.25">
      <c r="A21" s="198"/>
      <c r="B21" s="199" t="s">
        <v>291</v>
      </c>
      <c r="C21" s="200"/>
      <c r="D21" s="200"/>
      <c r="E21" s="200"/>
      <c r="F21" s="200"/>
      <c r="G21" s="200"/>
      <c r="H21" s="200"/>
      <c r="I21" s="200"/>
      <c r="J21" s="200"/>
      <c r="K21" s="200"/>
    </row>
    <row r="22" spans="1:12" s="205" customFormat="1" ht="31.5" x14ac:dyDescent="0.25">
      <c r="A22" s="202"/>
      <c r="B22" s="203" t="s">
        <v>793</v>
      </c>
      <c r="C22" s="204">
        <f t="shared" ref="C22:C27" si="4">D22+E22</f>
        <v>0</v>
      </c>
      <c r="D22" s="204">
        <v>0</v>
      </c>
      <c r="E22" s="204">
        <v>0</v>
      </c>
      <c r="F22" s="204">
        <f>SUM(G22+H22)</f>
        <v>29008.6</v>
      </c>
      <c r="G22" s="204">
        <v>26107.599999999999</v>
      </c>
      <c r="H22" s="204">
        <v>2901</v>
      </c>
      <c r="I22" s="204">
        <f>SUM(J22+K22)</f>
        <v>28846.3</v>
      </c>
      <c r="J22" s="204">
        <v>25961.7</v>
      </c>
      <c r="K22" s="204">
        <v>2884.6</v>
      </c>
    </row>
    <row r="23" spans="1:12" s="209" customFormat="1" ht="31.5" x14ac:dyDescent="0.25">
      <c r="A23" s="206"/>
      <c r="B23" s="207" t="s">
        <v>794</v>
      </c>
      <c r="C23" s="204">
        <f t="shared" si="4"/>
        <v>17432.099999999999</v>
      </c>
      <c r="D23" s="204">
        <v>15688.9</v>
      </c>
      <c r="E23" s="204">
        <v>1743.2</v>
      </c>
      <c r="F23" s="208"/>
      <c r="G23" s="208"/>
      <c r="H23" s="208"/>
      <c r="I23" s="208"/>
      <c r="J23" s="208"/>
      <c r="K23" s="208"/>
    </row>
    <row r="24" spans="1:12" s="209" customFormat="1" ht="31.5" x14ac:dyDescent="0.25">
      <c r="A24" s="206"/>
      <c r="B24" s="207" t="s">
        <v>795</v>
      </c>
      <c r="C24" s="204">
        <f t="shared" si="4"/>
        <v>2651.7999999999997</v>
      </c>
      <c r="D24" s="204">
        <v>2386.6</v>
      </c>
      <c r="E24" s="204">
        <v>265.2</v>
      </c>
      <c r="F24" s="208"/>
      <c r="G24" s="208"/>
      <c r="H24" s="208"/>
      <c r="I24" s="208"/>
      <c r="J24" s="208"/>
      <c r="K24" s="208"/>
    </row>
    <row r="25" spans="1:12" s="209" customFormat="1" ht="31.5" x14ac:dyDescent="0.25">
      <c r="A25" s="206"/>
      <c r="B25" s="207" t="s">
        <v>796</v>
      </c>
      <c r="C25" s="204">
        <f t="shared" si="4"/>
        <v>1210.7</v>
      </c>
      <c r="D25" s="204"/>
      <c r="E25" s="204">
        <v>1210.7</v>
      </c>
      <c r="F25" s="208"/>
      <c r="G25" s="208"/>
      <c r="H25" s="208"/>
      <c r="I25" s="208"/>
      <c r="J25" s="208"/>
      <c r="K25" s="208"/>
    </row>
    <row r="26" spans="1:12" s="214" customFormat="1" ht="15.75" x14ac:dyDescent="0.25">
      <c r="A26" s="210"/>
      <c r="B26" s="211" t="s">
        <v>797</v>
      </c>
      <c r="C26" s="212">
        <f t="shared" si="4"/>
        <v>1443.7</v>
      </c>
      <c r="D26" s="212"/>
      <c r="E26" s="212">
        <v>1443.7</v>
      </c>
      <c r="F26" s="212"/>
      <c r="G26" s="212"/>
      <c r="H26" s="212"/>
      <c r="I26" s="212"/>
      <c r="J26" s="212"/>
      <c r="K26" s="212"/>
      <c r="L26" s="213"/>
    </row>
    <row r="27" spans="1:12" s="214" customFormat="1" ht="63" x14ac:dyDescent="0.25">
      <c r="A27" s="210"/>
      <c r="B27" s="211" t="s">
        <v>798</v>
      </c>
      <c r="C27" s="212">
        <f t="shared" si="4"/>
        <v>258.89999999999998</v>
      </c>
      <c r="D27" s="212"/>
      <c r="E27" s="212">
        <v>258.89999999999998</v>
      </c>
      <c r="F27" s="212"/>
      <c r="G27" s="212"/>
      <c r="H27" s="212"/>
      <c r="I27" s="212"/>
      <c r="J27" s="212"/>
      <c r="K27" s="212"/>
      <c r="L27" s="213"/>
    </row>
    <row r="28" spans="1:12" s="193" customFormat="1" ht="15.75" x14ac:dyDescent="0.25">
      <c r="A28" s="190"/>
      <c r="B28" s="197" t="s">
        <v>799</v>
      </c>
      <c r="C28" s="192">
        <f>SUM(C30:C34)</f>
        <v>4101.3999999999996</v>
      </c>
      <c r="D28" s="192"/>
      <c r="E28" s="192">
        <f>SUM(E30:E34)</f>
        <v>4101.3999999999996</v>
      </c>
      <c r="F28" s="192">
        <f>SUM(F32:F34)</f>
        <v>3366.3</v>
      </c>
      <c r="G28" s="192"/>
      <c r="H28" s="192">
        <f>SUM(H32:H34)</f>
        <v>3366.3</v>
      </c>
      <c r="I28" s="192">
        <f>SUM(I35)</f>
        <v>884.4</v>
      </c>
      <c r="J28" s="192">
        <v>0</v>
      </c>
      <c r="K28" s="192">
        <f>SUM(K35)</f>
        <v>884.4</v>
      </c>
    </row>
    <row r="29" spans="1:12" ht="15.75" x14ac:dyDescent="0.25">
      <c r="A29" s="215"/>
      <c r="B29" s="216" t="s">
        <v>291</v>
      </c>
      <c r="C29" s="196"/>
      <c r="D29" s="196"/>
      <c r="E29" s="196"/>
      <c r="F29" s="196"/>
      <c r="G29" s="196"/>
      <c r="H29" s="196"/>
      <c r="I29" s="196"/>
      <c r="J29" s="196"/>
      <c r="K29" s="196"/>
    </row>
    <row r="30" spans="1:12" s="209" customFormat="1" ht="31.5" x14ac:dyDescent="0.25">
      <c r="A30" s="206"/>
      <c r="B30" s="217" t="s">
        <v>800</v>
      </c>
      <c r="C30" s="204">
        <f t="shared" ref="C30:C31" si="5">D30+E30</f>
        <v>1827.5</v>
      </c>
      <c r="D30" s="208">
        <v>0</v>
      </c>
      <c r="E30" s="208">
        <v>1827.5</v>
      </c>
      <c r="F30" s="208"/>
      <c r="G30" s="208"/>
      <c r="H30" s="208"/>
      <c r="I30" s="208"/>
      <c r="J30" s="208"/>
      <c r="K30" s="208"/>
    </row>
    <row r="31" spans="1:12" s="209" customFormat="1" ht="15.75" x14ac:dyDescent="0.25">
      <c r="A31" s="206"/>
      <c r="B31" s="217" t="s">
        <v>801</v>
      </c>
      <c r="C31" s="204">
        <f t="shared" si="5"/>
        <v>2273.9</v>
      </c>
      <c r="D31" s="208">
        <v>0</v>
      </c>
      <c r="E31" s="208">
        <v>2273.9</v>
      </c>
      <c r="F31" s="208"/>
      <c r="G31" s="208"/>
      <c r="H31" s="208"/>
      <c r="I31" s="208"/>
      <c r="J31" s="208"/>
      <c r="K31" s="208"/>
    </row>
    <row r="32" spans="1:12" s="209" customFormat="1" ht="15.75" x14ac:dyDescent="0.25">
      <c r="A32" s="206"/>
      <c r="B32" s="217" t="s">
        <v>802</v>
      </c>
      <c r="C32" s="204"/>
      <c r="D32" s="208"/>
      <c r="E32" s="208"/>
      <c r="F32" s="208">
        <f>G32+H32</f>
        <v>391.9</v>
      </c>
      <c r="G32" s="208"/>
      <c r="H32" s="208">
        <v>391.9</v>
      </c>
      <c r="I32" s="208"/>
      <c r="J32" s="208"/>
      <c r="K32" s="208"/>
    </row>
    <row r="33" spans="1:12" s="209" customFormat="1" ht="31.5" x14ac:dyDescent="0.25">
      <c r="A33" s="206"/>
      <c r="B33" s="217" t="s">
        <v>803</v>
      </c>
      <c r="C33" s="204"/>
      <c r="D33" s="208"/>
      <c r="E33" s="208"/>
      <c r="F33" s="208">
        <f>G33+H33</f>
        <v>1329.9</v>
      </c>
      <c r="G33" s="208"/>
      <c r="H33" s="208">
        <v>1329.9</v>
      </c>
      <c r="I33" s="208"/>
      <c r="J33" s="208"/>
      <c r="K33" s="208"/>
    </row>
    <row r="34" spans="1:12" s="209" customFormat="1" ht="31.5" x14ac:dyDescent="0.25">
      <c r="A34" s="206"/>
      <c r="B34" s="217" t="s">
        <v>804</v>
      </c>
      <c r="C34" s="204"/>
      <c r="D34" s="208"/>
      <c r="E34" s="208"/>
      <c r="F34" s="208">
        <f>G34+H34</f>
        <v>1644.5</v>
      </c>
      <c r="G34" s="208"/>
      <c r="H34" s="208">
        <v>1644.5</v>
      </c>
      <c r="I34" s="208"/>
      <c r="J34" s="208"/>
      <c r="K34" s="208"/>
      <c r="L34" s="218"/>
    </row>
    <row r="35" spans="1:12" s="209" customFormat="1" ht="15.75" x14ac:dyDescent="0.25">
      <c r="A35" s="206"/>
      <c r="B35" s="217" t="s">
        <v>805</v>
      </c>
      <c r="C35" s="204"/>
      <c r="D35" s="208"/>
      <c r="E35" s="208"/>
      <c r="F35" s="208"/>
      <c r="G35" s="208"/>
      <c r="H35" s="208"/>
      <c r="I35" s="208">
        <f>SUM(K35)</f>
        <v>884.4</v>
      </c>
      <c r="J35" s="208"/>
      <c r="K35" s="208">
        <v>884.4</v>
      </c>
      <c r="L35" s="218"/>
    </row>
    <row r="36" spans="1:12" s="189" customFormat="1" ht="31.5" x14ac:dyDescent="0.25">
      <c r="A36" s="186" t="s">
        <v>806</v>
      </c>
      <c r="B36" s="194" t="s">
        <v>459</v>
      </c>
      <c r="C36" s="188">
        <f>D36+E36</f>
        <v>27314.3</v>
      </c>
      <c r="D36" s="188">
        <v>0</v>
      </c>
      <c r="E36" s="188">
        <f>E37</f>
        <v>27314.3</v>
      </c>
      <c r="F36" s="188">
        <f>G36+H36</f>
        <v>28406.9</v>
      </c>
      <c r="G36" s="188">
        <v>0</v>
      </c>
      <c r="H36" s="188">
        <v>28406.9</v>
      </c>
      <c r="I36" s="188">
        <f>J36+K36</f>
        <v>29543.1</v>
      </c>
      <c r="J36" s="219">
        <v>0</v>
      </c>
      <c r="K36" s="188">
        <v>29543.1</v>
      </c>
    </row>
    <row r="37" spans="1:12" s="193" customFormat="1" ht="15.75" x14ac:dyDescent="0.25">
      <c r="A37" s="190"/>
      <c r="B37" s="220" t="s">
        <v>807</v>
      </c>
      <c r="C37" s="192">
        <f>D37+E37</f>
        <v>27314.3</v>
      </c>
      <c r="D37" s="192">
        <v>0</v>
      </c>
      <c r="E37" s="192">
        <v>27314.3</v>
      </c>
      <c r="F37" s="192">
        <f>G37+H37</f>
        <v>28406.9</v>
      </c>
      <c r="G37" s="192">
        <v>0</v>
      </c>
      <c r="H37" s="192">
        <v>28406.9</v>
      </c>
      <c r="I37" s="192">
        <f>J37+K37</f>
        <v>29543.1</v>
      </c>
      <c r="J37" s="221">
        <v>0</v>
      </c>
      <c r="K37" s="192">
        <v>29543.1</v>
      </c>
    </row>
    <row r="38" spans="1:12" s="185" customFormat="1" ht="47.25" x14ac:dyDescent="0.25">
      <c r="A38" s="182" t="s">
        <v>808</v>
      </c>
      <c r="B38" s="183" t="s">
        <v>809</v>
      </c>
      <c r="C38" s="184">
        <f>C40</f>
        <v>550.29999999999995</v>
      </c>
      <c r="D38" s="184">
        <v>0</v>
      </c>
      <c r="E38" s="184">
        <f>E40</f>
        <v>550.29999999999995</v>
      </c>
      <c r="F38" s="184">
        <f>H38</f>
        <v>572.29999999999995</v>
      </c>
      <c r="G38" s="184">
        <v>0</v>
      </c>
      <c r="H38" s="184">
        <f>H40</f>
        <v>572.29999999999995</v>
      </c>
      <c r="I38" s="184">
        <f>I40</f>
        <v>595.20000000000005</v>
      </c>
      <c r="J38" s="222">
        <v>0</v>
      </c>
      <c r="K38" s="184">
        <f>K40</f>
        <v>595.20000000000005</v>
      </c>
    </row>
    <row r="39" spans="1:12" s="193" customFormat="1" ht="47.25" x14ac:dyDescent="0.25">
      <c r="A39" s="186" t="s">
        <v>810</v>
      </c>
      <c r="B39" s="187" t="s">
        <v>811</v>
      </c>
      <c r="C39" s="223">
        <f>C40</f>
        <v>550.29999999999995</v>
      </c>
      <c r="D39" s="223"/>
      <c r="E39" s="223">
        <f>E40</f>
        <v>550.29999999999995</v>
      </c>
      <c r="F39" s="223"/>
      <c r="G39" s="223"/>
      <c r="H39" s="223"/>
      <c r="I39" s="223"/>
      <c r="J39" s="224"/>
      <c r="K39" s="223"/>
    </row>
    <row r="40" spans="1:12" ht="63" x14ac:dyDescent="0.25">
      <c r="A40" s="215"/>
      <c r="B40" s="216" t="s">
        <v>812</v>
      </c>
      <c r="C40" s="196">
        <f>E40</f>
        <v>550.29999999999995</v>
      </c>
      <c r="D40" s="196"/>
      <c r="E40" s="196">
        <f>E41+E42</f>
        <v>550.29999999999995</v>
      </c>
      <c r="F40" s="196">
        <f>H40</f>
        <v>572.29999999999995</v>
      </c>
      <c r="G40" s="196">
        <v>0</v>
      </c>
      <c r="H40" s="196">
        <v>572.29999999999995</v>
      </c>
      <c r="I40" s="196">
        <v>595.20000000000005</v>
      </c>
      <c r="J40" s="225">
        <v>0</v>
      </c>
      <c r="K40" s="226">
        <v>595.20000000000005</v>
      </c>
    </row>
    <row r="41" spans="1:12" s="209" customFormat="1" ht="47.25" x14ac:dyDescent="0.25">
      <c r="A41" s="206"/>
      <c r="B41" s="227" t="s">
        <v>813</v>
      </c>
      <c r="C41" s="208">
        <f t="shared" ref="C41:C42" si="6">E41</f>
        <v>320.39999999999998</v>
      </c>
      <c r="D41" s="208"/>
      <c r="E41" s="208">
        <v>320.39999999999998</v>
      </c>
      <c r="F41" s="208"/>
      <c r="G41" s="208"/>
      <c r="H41" s="208"/>
      <c r="I41" s="208"/>
      <c r="J41" s="228"/>
      <c r="K41" s="229"/>
    </row>
    <row r="42" spans="1:12" s="209" customFormat="1" ht="47.25" x14ac:dyDescent="0.25">
      <c r="A42" s="206"/>
      <c r="B42" s="227" t="s">
        <v>814</v>
      </c>
      <c r="C42" s="208">
        <f t="shared" si="6"/>
        <v>229.9</v>
      </c>
      <c r="D42" s="208"/>
      <c r="E42" s="208">
        <v>229.9</v>
      </c>
      <c r="F42" s="208"/>
      <c r="G42" s="208"/>
      <c r="H42" s="208"/>
      <c r="I42" s="208"/>
      <c r="J42" s="228"/>
      <c r="K42" s="229"/>
    </row>
    <row r="43" spans="1:12" ht="15.6" x14ac:dyDescent="0.3">
      <c r="A43" s="230"/>
      <c r="B43" s="231"/>
      <c r="C43" s="232"/>
      <c r="D43" s="232"/>
      <c r="E43" s="232"/>
      <c r="F43" s="232"/>
      <c r="G43" s="232"/>
      <c r="H43" s="232"/>
      <c r="I43" s="232"/>
      <c r="J43" s="232"/>
      <c r="K43" s="232"/>
    </row>
  </sheetData>
  <mergeCells count="15">
    <mergeCell ref="I4:K4"/>
    <mergeCell ref="G11:H11"/>
    <mergeCell ref="I11:I12"/>
    <mergeCell ref="J11:K11"/>
    <mergeCell ref="I3:K3"/>
    <mergeCell ref="A7:K7"/>
    <mergeCell ref="A9:A12"/>
    <mergeCell ref="B9:B12"/>
    <mergeCell ref="C9:K10"/>
    <mergeCell ref="C11:C12"/>
    <mergeCell ref="D11:E11"/>
    <mergeCell ref="F11:F12"/>
    <mergeCell ref="I1:K1"/>
    <mergeCell ref="I2:K2"/>
    <mergeCell ref="I5:K5"/>
  </mergeCells>
  <pageMargins left="0.70866141732283472" right="0.70866141732283472" top="1.1417322834645669" bottom="0.35433070866141736" header="0.31496062992125984" footer="0.31496062992125984"/>
  <pageSetup paperSize="9" scale="63" orientation="landscape" r:id="rId1"/>
  <rowBreaks count="1" manualBreakCount="1">
    <brk id="27" max="10" man="1"/>
  </rowBreaks>
  <colBreaks count="1" manualBreakCount="1">
    <brk id="1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BreakPreview" zoomScale="60" workbookViewId="0">
      <selection activeCell="B10" sqref="B10"/>
    </sheetView>
  </sheetViews>
  <sheetFormatPr defaultRowHeight="15" x14ac:dyDescent="0.25"/>
  <cols>
    <col min="1" max="1" width="25" customWidth="1"/>
    <col min="2" max="2" width="39" customWidth="1"/>
    <col min="3" max="5" width="16.28515625" customWidth="1"/>
  </cols>
  <sheetData>
    <row r="1" spans="1:5" ht="15.75" x14ac:dyDescent="0.25">
      <c r="A1" s="233"/>
      <c r="B1" s="233"/>
      <c r="C1" s="518" t="s">
        <v>778</v>
      </c>
      <c r="D1" s="518"/>
      <c r="E1" s="518"/>
    </row>
    <row r="2" spans="1:5" ht="15.75" customHeight="1" x14ac:dyDescent="0.25">
      <c r="A2" s="233"/>
      <c r="B2" s="234"/>
      <c r="C2" s="503" t="s">
        <v>767</v>
      </c>
      <c r="D2" s="503"/>
      <c r="E2" s="503"/>
    </row>
    <row r="3" spans="1:5" ht="15.75" x14ac:dyDescent="0.25">
      <c r="A3" s="233"/>
      <c r="B3" s="235"/>
      <c r="C3" s="518" t="s">
        <v>1407</v>
      </c>
      <c r="D3" s="518"/>
      <c r="E3" s="518"/>
    </row>
    <row r="4" spans="1:5" ht="15.75" x14ac:dyDescent="0.25">
      <c r="A4" s="233"/>
      <c r="B4" s="235"/>
      <c r="C4" s="518" t="s">
        <v>1405</v>
      </c>
      <c r="D4" s="518"/>
      <c r="E4" s="518"/>
    </row>
    <row r="5" spans="1:5" ht="15.75" x14ac:dyDescent="0.25">
      <c r="A5" s="233"/>
      <c r="B5" s="236"/>
      <c r="C5" s="518" t="s">
        <v>1406</v>
      </c>
      <c r="D5" s="518"/>
      <c r="E5" s="518"/>
    </row>
    <row r="6" spans="1:5" ht="46.9" customHeight="1" x14ac:dyDescent="0.25">
      <c r="A6" s="483" t="s">
        <v>1378</v>
      </c>
      <c r="B6" s="483"/>
      <c r="C6" s="483"/>
      <c r="D6" s="483"/>
      <c r="E6" s="483"/>
    </row>
    <row r="7" spans="1:5" x14ac:dyDescent="0.25">
      <c r="A7" s="233"/>
      <c r="B7" s="482" t="s">
        <v>817</v>
      </c>
      <c r="C7" s="482"/>
      <c r="D7" s="482"/>
      <c r="E7" s="482"/>
    </row>
    <row r="8" spans="1:5" ht="71.25" x14ac:dyDescent="0.25">
      <c r="A8" s="243" t="s">
        <v>818</v>
      </c>
      <c r="B8" s="243" t="s">
        <v>819</v>
      </c>
      <c r="C8" s="243" t="s">
        <v>3</v>
      </c>
      <c r="D8" s="243" t="s">
        <v>4</v>
      </c>
      <c r="E8" s="243" t="s">
        <v>5</v>
      </c>
    </row>
    <row r="9" spans="1:5" ht="14.45" hidden="1" x14ac:dyDescent="0.3">
      <c r="A9" s="237"/>
      <c r="B9" s="237"/>
      <c r="C9" s="237"/>
      <c r="D9" s="237"/>
      <c r="E9" s="237"/>
    </row>
    <row r="10" spans="1:5" ht="45" x14ac:dyDescent="0.25">
      <c r="A10" s="238" t="s">
        <v>820</v>
      </c>
      <c r="B10" s="239" t="s">
        <v>821</v>
      </c>
      <c r="C10" s="458">
        <f>C11</f>
        <v>3720.0375000002095</v>
      </c>
      <c r="D10" s="458">
        <f>D11</f>
        <v>2.3283064365386963E-10</v>
      </c>
      <c r="E10" s="458">
        <f>E11</f>
        <v>2.3283064365386963E-10</v>
      </c>
    </row>
    <row r="11" spans="1:5" ht="30" x14ac:dyDescent="0.25">
      <c r="A11" s="238" t="s">
        <v>822</v>
      </c>
      <c r="B11" s="239" t="s">
        <v>823</v>
      </c>
      <c r="C11" s="458">
        <f>(C15+C16)</f>
        <v>3720.0375000002095</v>
      </c>
      <c r="D11" s="458">
        <f t="shared" ref="D11:E11" si="0">(D15+D16)</f>
        <v>2.3283064365386963E-10</v>
      </c>
      <c r="E11" s="458">
        <f t="shared" si="0"/>
        <v>2.3283064365386963E-10</v>
      </c>
    </row>
    <row r="12" spans="1:5" x14ac:dyDescent="0.25">
      <c r="A12" s="237" t="s">
        <v>824</v>
      </c>
      <c r="B12" s="240" t="s">
        <v>825</v>
      </c>
      <c r="C12" s="459">
        <f t="shared" ref="C12:E13" si="1">C13</f>
        <v>-871028.28899999999</v>
      </c>
      <c r="D12" s="459">
        <f t="shared" si="1"/>
        <v>-813554.64500000002</v>
      </c>
      <c r="E12" s="459">
        <f t="shared" si="1"/>
        <v>-876644.78899999999</v>
      </c>
    </row>
    <row r="13" spans="1:5" ht="30" x14ac:dyDescent="0.25">
      <c r="A13" s="237" t="s">
        <v>826</v>
      </c>
      <c r="B13" s="240" t="s">
        <v>827</v>
      </c>
      <c r="C13" s="459">
        <f t="shared" si="1"/>
        <v>-871028.28899999999</v>
      </c>
      <c r="D13" s="459">
        <f t="shared" si="1"/>
        <v>-813554.64500000002</v>
      </c>
      <c r="E13" s="459">
        <f t="shared" si="1"/>
        <v>-876644.78899999999</v>
      </c>
    </row>
    <row r="14" spans="1:5" ht="30" x14ac:dyDescent="0.25">
      <c r="A14" s="237" t="s">
        <v>828</v>
      </c>
      <c r="B14" s="240" t="s">
        <v>829</v>
      </c>
      <c r="C14" s="459">
        <f>C15</f>
        <v>-871028.28899999999</v>
      </c>
      <c r="D14" s="459">
        <f>D15</f>
        <v>-813554.64500000002</v>
      </c>
      <c r="E14" s="459">
        <f>E15</f>
        <v>-876644.78899999999</v>
      </c>
    </row>
    <row r="15" spans="1:5" ht="45" x14ac:dyDescent="0.25">
      <c r="A15" s="237" t="s">
        <v>830</v>
      </c>
      <c r="B15" s="240" t="s">
        <v>831</v>
      </c>
      <c r="C15" s="459">
        <v>-871028.28899999999</v>
      </c>
      <c r="D15" s="459">
        <v>-813554.64500000002</v>
      </c>
      <c r="E15" s="459">
        <v>-876644.78899999999</v>
      </c>
    </row>
    <row r="16" spans="1:5" ht="30" x14ac:dyDescent="0.25">
      <c r="A16" s="237" t="s">
        <v>832</v>
      </c>
      <c r="B16" s="240" t="s">
        <v>833</v>
      </c>
      <c r="C16" s="459">
        <f>C17</f>
        <v>874748.3265000002</v>
      </c>
      <c r="D16" s="459">
        <f>D19</f>
        <v>813554.64500000025</v>
      </c>
      <c r="E16" s="459">
        <f>E19</f>
        <v>876644.78900000022</v>
      </c>
    </row>
    <row r="17" spans="1:5" ht="30" x14ac:dyDescent="0.25">
      <c r="A17" s="237" t="s">
        <v>834</v>
      </c>
      <c r="B17" s="240" t="s">
        <v>835</v>
      </c>
      <c r="C17" s="459">
        <f>C18</f>
        <v>874748.3265000002</v>
      </c>
      <c r="D17" s="459">
        <f>D19</f>
        <v>813554.64500000025</v>
      </c>
      <c r="E17" s="459">
        <f>E19</f>
        <v>876644.78900000022</v>
      </c>
    </row>
    <row r="18" spans="1:5" ht="30" x14ac:dyDescent="0.25">
      <c r="A18" s="237" t="s">
        <v>836</v>
      </c>
      <c r="B18" s="240" t="s">
        <v>837</v>
      </c>
      <c r="C18" s="459">
        <f>C19</f>
        <v>874748.3265000002</v>
      </c>
      <c r="D18" s="459">
        <f>D19</f>
        <v>813554.64500000025</v>
      </c>
      <c r="E18" s="459">
        <f>E19</f>
        <v>876644.78900000022</v>
      </c>
    </row>
    <row r="19" spans="1:5" ht="45" x14ac:dyDescent="0.25">
      <c r="A19" s="237" t="s">
        <v>838</v>
      </c>
      <c r="B19" s="240" t="s">
        <v>839</v>
      </c>
      <c r="C19" s="459">
        <f>'Приложение 1'!G630</f>
        <v>874748.3265000002</v>
      </c>
      <c r="D19" s="459">
        <f>'Приложение 1'!H630+10999.792</f>
        <v>813554.64500000025</v>
      </c>
      <c r="E19" s="459">
        <f>'Приложение 1'!I630+23184.933</f>
        <v>876644.78900000022</v>
      </c>
    </row>
    <row r="20" spans="1:5" x14ac:dyDescent="0.25">
      <c r="A20" s="241"/>
      <c r="B20" s="242" t="s">
        <v>840</v>
      </c>
      <c r="C20" s="460">
        <f>C10</f>
        <v>3720.0375000002095</v>
      </c>
      <c r="D20" s="460">
        <f>D10</f>
        <v>2.3283064365386963E-10</v>
      </c>
      <c r="E20" s="460">
        <f>E10</f>
        <v>2.3283064365386963E-10</v>
      </c>
    </row>
  </sheetData>
  <mergeCells count="7">
    <mergeCell ref="B7:E7"/>
    <mergeCell ref="C1:E1"/>
    <mergeCell ref="C2:E2"/>
    <mergeCell ref="C3:E3"/>
    <mergeCell ref="C5:E5"/>
    <mergeCell ref="A6:E6"/>
    <mergeCell ref="C4:E4"/>
  </mergeCells>
  <pageMargins left="1.1023622047244095" right="0.31496062992125984" top="0.74803149606299213" bottom="0.74803149606299213" header="0.31496062992125984" footer="0.31496062992125984"/>
  <pageSetup paperSize="9" scale="7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zoomScale="60" workbookViewId="0">
      <selection activeCell="B6" sqref="B6"/>
    </sheetView>
  </sheetViews>
  <sheetFormatPr defaultColWidth="9.140625" defaultRowHeight="12.75" x14ac:dyDescent="0.2"/>
  <cols>
    <col min="1" max="1" width="7" style="244" customWidth="1"/>
    <col min="2" max="2" width="62.140625" style="244" customWidth="1"/>
    <col min="3" max="5" width="10.85546875" style="244" customWidth="1"/>
    <col min="6" max="16384" width="9.140625" style="244"/>
  </cols>
  <sheetData>
    <row r="1" spans="1:5" ht="15.75" x14ac:dyDescent="0.25">
      <c r="A1" s="526" t="s">
        <v>851</v>
      </c>
      <c r="B1" s="526"/>
      <c r="C1" s="527" t="s">
        <v>816</v>
      </c>
      <c r="D1" s="527"/>
      <c r="E1" s="527"/>
    </row>
    <row r="2" spans="1:5" ht="15.75" x14ac:dyDescent="0.25">
      <c r="A2" s="526"/>
      <c r="B2" s="526"/>
      <c r="C2" s="527" t="s">
        <v>767</v>
      </c>
      <c r="D2" s="527"/>
      <c r="E2" s="527"/>
    </row>
    <row r="3" spans="1:5" ht="15.75" x14ac:dyDescent="0.25">
      <c r="A3" s="526"/>
      <c r="B3" s="526"/>
      <c r="C3" s="527" t="s">
        <v>1404</v>
      </c>
      <c r="D3" s="527"/>
      <c r="E3" s="527"/>
    </row>
    <row r="4" spans="1:5" ht="15.75" x14ac:dyDescent="0.25">
      <c r="A4" s="245"/>
      <c r="B4" s="526"/>
      <c r="C4" s="527" t="s">
        <v>1405</v>
      </c>
      <c r="D4" s="527"/>
      <c r="E4" s="527"/>
    </row>
    <row r="5" spans="1:5" ht="15.75" x14ac:dyDescent="0.25">
      <c r="A5" s="245"/>
      <c r="B5" s="526"/>
      <c r="C5" s="527" t="s">
        <v>1411</v>
      </c>
      <c r="D5" s="527"/>
      <c r="E5" s="527"/>
    </row>
    <row r="6" spans="1:5" ht="15.75" x14ac:dyDescent="0.25">
      <c r="A6" s="245"/>
    </row>
    <row r="7" spans="1:5" ht="18.75" x14ac:dyDescent="0.3">
      <c r="A7" s="485" t="s">
        <v>842</v>
      </c>
      <c r="B7" s="485"/>
      <c r="C7" s="485"/>
      <c r="D7" s="485"/>
      <c r="E7" s="485"/>
    </row>
    <row r="8" spans="1:5" ht="40.9" customHeight="1" x14ac:dyDescent="0.3">
      <c r="A8" s="486" t="s">
        <v>1379</v>
      </c>
      <c r="B8" s="486"/>
      <c r="C8" s="486"/>
      <c r="D8" s="486"/>
      <c r="E8" s="486"/>
    </row>
    <row r="9" spans="1:5" ht="17.45" x14ac:dyDescent="0.3">
      <c r="A9" s="246"/>
    </row>
    <row r="10" spans="1:5" ht="15.75" x14ac:dyDescent="0.25">
      <c r="A10" s="487"/>
      <c r="B10" s="487"/>
      <c r="C10" s="487"/>
      <c r="E10" s="247" t="s">
        <v>817</v>
      </c>
    </row>
    <row r="11" spans="1:5" ht="37.5" x14ac:dyDescent="0.2">
      <c r="A11" s="253" t="s">
        <v>770</v>
      </c>
      <c r="B11" s="253" t="s">
        <v>843</v>
      </c>
      <c r="C11" s="253" t="s">
        <v>3</v>
      </c>
      <c r="D11" s="253" t="s">
        <v>4</v>
      </c>
      <c r="E11" s="253" t="s">
        <v>5</v>
      </c>
    </row>
    <row r="12" spans="1:5" ht="75" x14ac:dyDescent="0.2">
      <c r="A12" s="484" t="s">
        <v>780</v>
      </c>
      <c r="B12" s="249" t="s">
        <v>844</v>
      </c>
      <c r="C12" s="248"/>
      <c r="D12" s="248"/>
      <c r="E12" s="248"/>
    </row>
    <row r="13" spans="1:5" ht="18.75" x14ac:dyDescent="0.2">
      <c r="A13" s="484"/>
      <c r="B13" s="249" t="s">
        <v>845</v>
      </c>
      <c r="C13" s="248">
        <v>0</v>
      </c>
      <c r="D13" s="248">
        <v>0</v>
      </c>
      <c r="E13" s="248">
        <v>0</v>
      </c>
    </row>
    <row r="14" spans="1:5" ht="18.75" x14ac:dyDescent="0.2">
      <c r="A14" s="484"/>
      <c r="B14" s="249" t="s">
        <v>846</v>
      </c>
      <c r="C14" s="248">
        <v>0</v>
      </c>
      <c r="D14" s="248">
        <v>0</v>
      </c>
      <c r="E14" s="248">
        <v>0</v>
      </c>
    </row>
    <row r="15" spans="1:5" ht="18.75" x14ac:dyDescent="0.2">
      <c r="A15" s="484"/>
      <c r="B15" s="249" t="s">
        <v>847</v>
      </c>
      <c r="C15" s="248"/>
      <c r="D15" s="250"/>
      <c r="E15" s="250"/>
    </row>
    <row r="16" spans="1:5" ht="72" hidden="1" x14ac:dyDescent="0.25">
      <c r="A16" s="484"/>
      <c r="B16" s="249" t="s">
        <v>848</v>
      </c>
      <c r="C16" s="248">
        <v>0</v>
      </c>
      <c r="D16" s="250"/>
      <c r="E16" s="250"/>
    </row>
    <row r="17" spans="1:5" ht="54" hidden="1" x14ac:dyDescent="0.25">
      <c r="A17" s="484"/>
      <c r="B17" s="249" t="s">
        <v>849</v>
      </c>
      <c r="C17" s="248">
        <v>0</v>
      </c>
      <c r="D17" s="250"/>
      <c r="E17" s="250"/>
    </row>
  </sheetData>
  <mergeCells count="9">
    <mergeCell ref="A12:A17"/>
    <mergeCell ref="A7:E7"/>
    <mergeCell ref="A8:E8"/>
    <mergeCell ref="A10:C10"/>
    <mergeCell ref="C1:E1"/>
    <mergeCell ref="C2:E2"/>
    <mergeCell ref="C3:E3"/>
    <mergeCell ref="C4:E4"/>
    <mergeCell ref="C5:E5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workbookViewId="0">
      <selection activeCell="A4" sqref="A4"/>
    </sheetView>
  </sheetViews>
  <sheetFormatPr defaultColWidth="9.140625" defaultRowHeight="12.75" x14ac:dyDescent="0.2"/>
  <cols>
    <col min="1" max="1" width="55.7109375" style="247" customWidth="1"/>
    <col min="2" max="4" width="13.140625" style="247" customWidth="1"/>
    <col min="5" max="16384" width="9.140625" style="247"/>
  </cols>
  <sheetData>
    <row r="1" spans="1:4" ht="15.75" x14ac:dyDescent="0.25">
      <c r="A1" s="526"/>
      <c r="B1" s="527" t="s">
        <v>856</v>
      </c>
      <c r="C1" s="527"/>
      <c r="D1" s="527"/>
    </row>
    <row r="2" spans="1:4" ht="15.75" x14ac:dyDescent="0.25">
      <c r="A2" s="526"/>
      <c r="B2" s="527" t="s">
        <v>866</v>
      </c>
      <c r="C2" s="527"/>
      <c r="D2" s="527"/>
    </row>
    <row r="3" spans="1:4" ht="15" customHeight="1" x14ac:dyDescent="0.25">
      <c r="A3" s="526"/>
      <c r="B3" s="527" t="s">
        <v>1404</v>
      </c>
      <c r="C3" s="527"/>
      <c r="D3" s="527"/>
    </row>
    <row r="4" spans="1:4" ht="15" customHeight="1" x14ac:dyDescent="0.25">
      <c r="A4" s="526"/>
      <c r="B4" s="527" t="s">
        <v>1405</v>
      </c>
      <c r="C4" s="527"/>
      <c r="D4" s="527"/>
    </row>
    <row r="5" spans="1:4" ht="15" customHeight="1" x14ac:dyDescent="0.25">
      <c r="B5" s="527" t="s">
        <v>1406</v>
      </c>
      <c r="C5" s="527"/>
      <c r="D5" s="527"/>
    </row>
    <row r="7" spans="1:4" ht="18.75" x14ac:dyDescent="0.3">
      <c r="A7" s="485" t="s">
        <v>850</v>
      </c>
      <c r="B7" s="485"/>
      <c r="C7" s="485"/>
      <c r="D7" s="485"/>
    </row>
    <row r="8" spans="1:4" ht="40.15" customHeight="1" x14ac:dyDescent="0.3">
      <c r="A8" s="486" t="s">
        <v>1380</v>
      </c>
      <c r="B8" s="486"/>
      <c r="C8" s="486"/>
      <c r="D8" s="486"/>
    </row>
    <row r="9" spans="1:4" ht="13.15" x14ac:dyDescent="0.25">
      <c r="A9" s="254"/>
    </row>
    <row r="10" spans="1:4" x14ac:dyDescent="0.2">
      <c r="A10" s="251" t="s">
        <v>851</v>
      </c>
      <c r="B10" s="488" t="s">
        <v>817</v>
      </c>
      <c r="C10" s="488"/>
      <c r="D10" s="488"/>
    </row>
    <row r="11" spans="1:4" ht="18.75" x14ac:dyDescent="0.2">
      <c r="A11" s="255" t="s">
        <v>852</v>
      </c>
      <c r="B11" s="248" t="s">
        <v>3</v>
      </c>
      <c r="C11" s="248" t="s">
        <v>4</v>
      </c>
      <c r="D11" s="248" t="s">
        <v>5</v>
      </c>
    </row>
    <row r="12" spans="1:4" ht="56.25" x14ac:dyDescent="0.2">
      <c r="A12" s="255" t="s">
        <v>853</v>
      </c>
      <c r="B12" s="255">
        <v>0</v>
      </c>
      <c r="C12" s="255">
        <v>0</v>
      </c>
      <c r="D12" s="255">
        <v>0</v>
      </c>
    </row>
    <row r="13" spans="1:4" ht="56.25" x14ac:dyDescent="0.2">
      <c r="A13" s="255" t="s">
        <v>854</v>
      </c>
      <c r="B13" s="255">
        <v>0</v>
      </c>
      <c r="C13" s="255">
        <v>0</v>
      </c>
      <c r="D13" s="255">
        <v>0</v>
      </c>
    </row>
    <row r="14" spans="1:4" ht="56.25" x14ac:dyDescent="0.2">
      <c r="A14" s="255" t="s">
        <v>855</v>
      </c>
      <c r="B14" s="255">
        <v>0</v>
      </c>
      <c r="C14" s="255">
        <v>0</v>
      </c>
      <c r="D14" s="255">
        <v>0</v>
      </c>
    </row>
    <row r="15" spans="1:4" ht="13.15" x14ac:dyDescent="0.25">
      <c r="A15" s="254"/>
    </row>
  </sheetData>
  <mergeCells count="8">
    <mergeCell ref="A7:D7"/>
    <mergeCell ref="A8:D8"/>
    <mergeCell ref="B10:D10"/>
    <mergeCell ref="B1:D1"/>
    <mergeCell ref="B2:D2"/>
    <mergeCell ref="B3:D3"/>
    <mergeCell ref="B4:D4"/>
    <mergeCell ref="B5:D5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60" workbookViewId="0">
      <selection activeCell="E5" sqref="E5"/>
    </sheetView>
  </sheetViews>
  <sheetFormatPr defaultColWidth="9.140625" defaultRowHeight="12.75" x14ac:dyDescent="0.2"/>
  <cols>
    <col min="1" max="1" width="4.7109375" style="244" customWidth="1"/>
    <col min="2" max="2" width="55" style="244" customWidth="1"/>
    <col min="3" max="5" width="14.140625" style="244" customWidth="1"/>
    <col min="6" max="16384" width="9.140625" style="244"/>
  </cols>
  <sheetData>
    <row r="1" spans="1:5" ht="15.75" x14ac:dyDescent="0.25">
      <c r="A1" s="256"/>
      <c r="B1" s="489" t="s">
        <v>857</v>
      </c>
      <c r="C1" s="489"/>
      <c r="D1" s="489"/>
      <c r="E1" s="489"/>
    </row>
    <row r="2" spans="1:5" ht="15.75" x14ac:dyDescent="0.25">
      <c r="A2" s="256"/>
      <c r="B2" s="489" t="s">
        <v>866</v>
      </c>
      <c r="C2" s="489"/>
      <c r="D2" s="489"/>
      <c r="E2" s="489"/>
    </row>
    <row r="3" spans="1:5" ht="15.75" x14ac:dyDescent="0.25">
      <c r="A3" s="256"/>
      <c r="E3" s="252" t="s">
        <v>815</v>
      </c>
    </row>
    <row r="4" spans="1:5" ht="15.75" x14ac:dyDescent="0.25">
      <c r="A4" s="256"/>
      <c r="E4" s="252" t="s">
        <v>1406</v>
      </c>
    </row>
    <row r="5" spans="1:5" ht="15.6" x14ac:dyDescent="0.3">
      <c r="A5" s="256"/>
      <c r="E5" s="252"/>
    </row>
    <row r="6" spans="1:5" ht="18.75" x14ac:dyDescent="0.3">
      <c r="A6" s="490" t="s">
        <v>858</v>
      </c>
      <c r="B6" s="490"/>
      <c r="C6" s="490"/>
      <c r="D6" s="490"/>
      <c r="E6" s="490"/>
    </row>
    <row r="7" spans="1:5" ht="18.75" x14ac:dyDescent="0.3">
      <c r="A7" s="490" t="s">
        <v>1381</v>
      </c>
      <c r="B7" s="490"/>
      <c r="C7" s="490"/>
      <c r="D7" s="490"/>
      <c r="E7" s="490"/>
    </row>
    <row r="8" spans="1:5" ht="15.75" x14ac:dyDescent="0.25">
      <c r="A8" s="491" t="s">
        <v>851</v>
      </c>
      <c r="B8" s="492"/>
      <c r="C8" s="493" t="s">
        <v>817</v>
      </c>
      <c r="D8" s="493"/>
      <c r="E8" s="493"/>
    </row>
    <row r="9" spans="1:5" ht="31.5" x14ac:dyDescent="0.25">
      <c r="A9" s="257" t="s">
        <v>770</v>
      </c>
      <c r="B9" s="258" t="s">
        <v>859</v>
      </c>
      <c r="C9" s="259" t="s">
        <v>860</v>
      </c>
      <c r="D9" s="259" t="s">
        <v>861</v>
      </c>
      <c r="E9" s="259" t="s">
        <v>862</v>
      </c>
    </row>
    <row r="10" spans="1:5" ht="15.75" x14ac:dyDescent="0.2">
      <c r="A10" s="260" t="s">
        <v>780</v>
      </c>
      <c r="B10" s="261" t="s">
        <v>863</v>
      </c>
      <c r="C10" s="262">
        <v>0</v>
      </c>
      <c r="D10" s="262">
        <v>0</v>
      </c>
      <c r="E10" s="262">
        <v>0</v>
      </c>
    </row>
    <row r="11" spans="1:5" ht="15.75" x14ac:dyDescent="0.2">
      <c r="A11" s="260">
        <v>2</v>
      </c>
      <c r="B11" s="261" t="s">
        <v>864</v>
      </c>
      <c r="C11" s="262">
        <v>0</v>
      </c>
      <c r="D11" s="262">
        <v>0</v>
      </c>
      <c r="E11" s="262">
        <v>0</v>
      </c>
    </row>
    <row r="12" spans="1:5" ht="15.75" x14ac:dyDescent="0.2">
      <c r="A12" s="263"/>
      <c r="B12" s="264" t="s">
        <v>865</v>
      </c>
      <c r="C12" s="265">
        <f>C10</f>
        <v>0</v>
      </c>
      <c r="D12" s="265">
        <f t="shared" ref="D12:E12" si="0">D10</f>
        <v>0</v>
      </c>
      <c r="E12" s="265">
        <f t="shared" si="0"/>
        <v>0</v>
      </c>
    </row>
    <row r="13" spans="1:5" ht="15.6" x14ac:dyDescent="0.3">
      <c r="A13" s="266"/>
    </row>
  </sheetData>
  <mergeCells count="6">
    <mergeCell ref="B1:E1"/>
    <mergeCell ref="B2:E2"/>
    <mergeCell ref="A6:E6"/>
    <mergeCell ref="A7:E7"/>
    <mergeCell ref="A8:B8"/>
    <mergeCell ref="C8:E8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4</vt:i4>
      </vt:variant>
    </vt:vector>
  </HeadingPairs>
  <TitlesOfParts>
    <vt:vector size="16" baseType="lpstr">
      <vt:lpstr>Перечень приложений</vt:lpstr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Справочно 1</vt:lpstr>
      <vt:lpstr>Справочно 2</vt:lpstr>
      <vt:lpstr>Справочно 3</vt:lpstr>
      <vt:lpstr>Справочно 4</vt:lpstr>
      <vt:lpstr>'Приложение 1'!Область_печати</vt:lpstr>
      <vt:lpstr>'Приложение 2'!Область_печати</vt:lpstr>
      <vt:lpstr>'Приложение 4'!Область_печати</vt:lpstr>
      <vt:lpstr>'Справочно 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2022-12-23T05:35:19Z</cp:lastPrinted>
  <dcterms:created xsi:type="dcterms:W3CDTF">2022-11-04T08:13:16Z</dcterms:created>
  <dcterms:modified xsi:type="dcterms:W3CDTF">2022-12-23T05:35:36Z</dcterms:modified>
</cp:coreProperties>
</file>